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235" firstSheet="5" activeTab="5"/>
  </bookViews>
  <sheets>
    <sheet name="Enquiry_0015" sheetId="1" state="hidden" r:id="rId1"/>
    <sheet name="FINANCIAL PERFORMANCE WITH FBE" sheetId="30" r:id="rId2"/>
    <sheet name="FREE BASIC CHARGE" sheetId="22" r:id="rId3"/>
    <sheet name="FINANCIAL PERFORMANCE" sheetId="20" r:id="rId4"/>
    <sheet name="SUMMARY- PER DEPT" sheetId="18" r:id="rId5"/>
    <sheet name="COMMUNITY SERVICES" sheetId="2" r:id="rId6"/>
    <sheet name="CORPORATE" sheetId="12" r:id="rId7"/>
    <sheet name="FINANCE" sheetId="15" r:id="rId8"/>
    <sheet name="MM" sheetId="11" r:id="rId9"/>
    <sheet name="SPEAKER" sheetId="13" r:id="rId10"/>
    <sheet name="MAYOR" sheetId="14" r:id="rId11"/>
    <sheet name="TECHNICAL" sheetId="16" r:id="rId12"/>
    <sheet name="SALARIES" sheetId="3" r:id="rId13"/>
    <sheet name="RME" sheetId="6" r:id="rId14"/>
    <sheet name="Unmetered Dpt Consumption" sheetId="29" r:id="rId15"/>
    <sheet name="CONTRACTED SERVICES" sheetId="23" r:id="rId16"/>
    <sheet name="GENERAL EXPENDITURE" sheetId="24" r:id="rId17"/>
    <sheet name="GENERAL EXPE BY TYPE" sheetId="27" r:id="rId18"/>
    <sheet name="OTHER REVENUE" sheetId="25" r:id="rId19"/>
    <sheet name="NON CASH" sheetId="5" r:id="rId20"/>
    <sheet name="CAPITAL" sheetId="4" r:id="rId21"/>
    <sheet name="GRANTS" sheetId="10" r:id="rId22"/>
    <sheet name="RENT REVENUE" sheetId="26" r:id="rId23"/>
    <sheet name="ESKOM REPAYMENT" sheetId="28" r:id="rId24"/>
    <sheet name="BULK PURCHASES" sheetId="8" r:id="rId25"/>
    <sheet name="CAPITAL - Renewal" sheetId="31" r:id="rId26"/>
    <sheet name="CAPITAL - New" sheetId="32" r:id="rId27"/>
  </sheets>
  <definedNames>
    <definedName name="_xlnm._FilterDatabase" localSheetId="20" hidden="1">CAPITAL!$A$1:$K$100</definedName>
    <definedName name="_xlnm._FilterDatabase" localSheetId="5" hidden="1">'COMMUNITY SERVICES'!$A$1:$P$343</definedName>
    <definedName name="_xlnm._FilterDatabase" localSheetId="6" hidden="1">CORPORATE!$A$1:$N$81</definedName>
    <definedName name="_xlnm._FilterDatabase" localSheetId="0" hidden="1">Enquiry_0015!$A$2:$P$758</definedName>
    <definedName name="_xlnm._FilterDatabase" localSheetId="7" hidden="1">FINANCE!$A$1:$Q$88</definedName>
    <definedName name="_xlnm._FilterDatabase" localSheetId="17" hidden="1">'GENERAL EXPE BY TYPE'!$C$1:$C$357</definedName>
    <definedName name="_xlnm._FilterDatabase" localSheetId="16" hidden="1">'GENERAL EXPENDITURE'!$C$1:$C$238</definedName>
    <definedName name="_xlnm._FilterDatabase" localSheetId="21" hidden="1">GRANTS!$C$1:$C$135</definedName>
    <definedName name="_xlnm._FilterDatabase" localSheetId="10" hidden="1">MAYOR!$A$1:$N$36</definedName>
    <definedName name="_xlnm._FilterDatabase" localSheetId="8" hidden="1">MM!$A$1:$N$41</definedName>
    <definedName name="_xlnm._FilterDatabase" localSheetId="19" hidden="1">'NON CASH'!$A$2:$L$36</definedName>
    <definedName name="_xlnm._FilterDatabase" localSheetId="13" hidden="1">RME!$A$2:$H$46</definedName>
    <definedName name="_xlnm._FilterDatabase" localSheetId="12" hidden="1">SALARIES!$A$2:$L$266</definedName>
    <definedName name="_xlnm._FilterDatabase" localSheetId="9" hidden="1">SPEAKER!$A$1:$N$34</definedName>
    <definedName name="_xlnm._FilterDatabase" localSheetId="11" hidden="1">TECHNICAL!$A$1:$P$279</definedName>
    <definedName name="_xlnm.Print_Area" localSheetId="24">'BULK PURCHASES'!$A$1:$J$5</definedName>
    <definedName name="_xlnm.Print_Area" localSheetId="20">CAPITAL!$A$1:$I$100</definedName>
    <definedName name="_xlnm.Print_Area" localSheetId="25">'CAPITAL - Renewal'!$A$1:$I$100</definedName>
    <definedName name="_xlnm.Print_Area" localSheetId="5">'COMMUNITY SERVICES'!$A$1:$H$342</definedName>
    <definedName name="_xlnm.Print_Area" localSheetId="15">'CONTRACTED SERVICES'!$A$1:$I$14</definedName>
    <definedName name="_xlnm.Print_Area" localSheetId="6">CORPORATE!$A$1:$H$83</definedName>
    <definedName name="_xlnm.Print_Area" localSheetId="7">FINANCE!$A$1:$H$94</definedName>
    <definedName name="_xlnm.Print_Area" localSheetId="3">'FINANCIAL PERFORMANCE'!$A$1:$H$48</definedName>
    <definedName name="_xlnm.Print_Area" localSheetId="2">'FREE BASIC CHARGE'!$A$2:$J$9</definedName>
    <definedName name="_xlnm.Print_Area" localSheetId="17">'GENERAL EXPE BY TYPE'!$A$1:$J$318</definedName>
    <definedName name="_xlnm.Print_Area" localSheetId="16">'GENERAL EXPENDITURE'!$A$1:$J$200</definedName>
    <definedName name="_xlnm.Print_Area" localSheetId="21">GRANTS!$A$1:$I$66</definedName>
    <definedName name="_xlnm.Print_Area" localSheetId="10">MAYOR!$A$1:$H$44</definedName>
    <definedName name="_xlnm.Print_Area" localSheetId="8">MM!$A$1:$H$48</definedName>
    <definedName name="_xlnm.Print_Area" localSheetId="18">'OTHER REVENUE'!$A$1:$J$73</definedName>
    <definedName name="_xlnm.Print_Area" localSheetId="22">'RENT REVENUE'!$A$1:$J$11</definedName>
    <definedName name="_xlnm.Print_Area" localSheetId="13">RME!$A$1:$J$45</definedName>
    <definedName name="_xlnm.Print_Area" localSheetId="12">SALARIES!$A$1:$J$280</definedName>
    <definedName name="_xlnm.Print_Area" localSheetId="9">SPEAKER!$A$1:$H$40</definedName>
    <definedName name="_xlnm.Print_Area" localSheetId="11">TECHNICAL!$A$1:$H$278</definedName>
  </definedNames>
  <calcPr calcId="144525"/>
</workbook>
</file>

<file path=xl/calcChain.xml><?xml version="1.0" encoding="utf-8"?>
<calcChain xmlns="http://schemas.openxmlformats.org/spreadsheetml/2006/main">
  <c r="H23" i="30" l="1"/>
  <c r="I28" i="30"/>
  <c r="I23" i="30"/>
  <c r="I40" i="30"/>
  <c r="I21" i="30"/>
  <c r="I20" i="30"/>
  <c r="I19" i="30"/>
  <c r="I18" i="30"/>
  <c r="I17" i="30"/>
  <c r="I16" i="30"/>
  <c r="I9" i="30"/>
  <c r="I11" i="30"/>
  <c r="I13" i="30"/>
  <c r="I15" i="30"/>
  <c r="I7" i="30"/>
  <c r="J285" i="27" l="1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266" i="27"/>
  <c r="J329" i="27" l="1"/>
  <c r="J200" i="24"/>
  <c r="J278" i="27"/>
  <c r="J49" i="27"/>
  <c r="J272" i="27"/>
  <c r="J27" i="27"/>
  <c r="J137" i="24"/>
  <c r="J27" i="6"/>
  <c r="J142" i="27"/>
  <c r="J135" i="24"/>
  <c r="J117" i="24"/>
  <c r="J104" i="24"/>
  <c r="J93" i="24"/>
  <c r="J86" i="24"/>
  <c r="J38" i="24"/>
  <c r="J29" i="24"/>
  <c r="J22" i="24"/>
  <c r="J9" i="24"/>
  <c r="J190" i="27"/>
  <c r="J82" i="15" l="1"/>
  <c r="D137" i="24" l="1"/>
  <c r="F137" i="24"/>
  <c r="O172" i="2"/>
  <c r="O228" i="2"/>
  <c r="O287" i="2"/>
  <c r="M323" i="2"/>
  <c r="O323" i="2"/>
  <c r="N323" i="2"/>
  <c r="K8" i="18" l="1"/>
  <c r="G79" i="32"/>
  <c r="F100" i="32"/>
  <c r="E100" i="32"/>
  <c r="D100" i="32"/>
  <c r="C100" i="32"/>
  <c r="I98" i="32"/>
  <c r="H98" i="32"/>
  <c r="G98" i="32"/>
  <c r="I95" i="32"/>
  <c r="H95" i="32"/>
  <c r="H100" i="32" s="1"/>
  <c r="G95" i="32"/>
  <c r="G94" i="32"/>
  <c r="I79" i="32"/>
  <c r="H79" i="32"/>
  <c r="F79" i="32"/>
  <c r="F90" i="32" s="1"/>
  <c r="E79" i="32"/>
  <c r="E90" i="32" s="1"/>
  <c r="D79" i="32"/>
  <c r="D90" i="32" s="1"/>
  <c r="C79" i="32"/>
  <c r="C90" i="32" s="1"/>
  <c r="I72" i="32"/>
  <c r="H72" i="32"/>
  <c r="G72" i="32"/>
  <c r="F72" i="32"/>
  <c r="E72" i="32"/>
  <c r="D72" i="32"/>
  <c r="C72" i="32"/>
  <c r="I69" i="32"/>
  <c r="I94" i="32" s="1"/>
  <c r="I61" i="32"/>
  <c r="H61" i="32"/>
  <c r="G61" i="32"/>
  <c r="F61" i="32"/>
  <c r="E61" i="32"/>
  <c r="D61" i="32"/>
  <c r="C61" i="32"/>
  <c r="I47" i="32"/>
  <c r="H47" i="32"/>
  <c r="G47" i="32"/>
  <c r="F47" i="32"/>
  <c r="E47" i="32"/>
  <c r="D47" i="32"/>
  <c r="C47" i="32"/>
  <c r="I29" i="32"/>
  <c r="H29" i="32"/>
  <c r="G29" i="32"/>
  <c r="F29" i="32"/>
  <c r="E29" i="32"/>
  <c r="D29" i="32"/>
  <c r="C29" i="32"/>
  <c r="F23" i="32"/>
  <c r="I20" i="32"/>
  <c r="H20" i="32"/>
  <c r="G20" i="32"/>
  <c r="F20" i="32"/>
  <c r="E20" i="32"/>
  <c r="D20" i="32"/>
  <c r="C20" i="32"/>
  <c r="I10" i="32"/>
  <c r="H10" i="32"/>
  <c r="G10" i="32"/>
  <c r="F10" i="32"/>
  <c r="E10" i="32"/>
  <c r="D10" i="32"/>
  <c r="C10" i="32"/>
  <c r="E6" i="32"/>
  <c r="I4" i="32"/>
  <c r="H4" i="32"/>
  <c r="G4" i="32"/>
  <c r="F4" i="32"/>
  <c r="E4" i="32"/>
  <c r="D4" i="32"/>
  <c r="C4" i="32"/>
  <c r="I100" i="32" l="1"/>
  <c r="I90" i="32"/>
  <c r="H90" i="32"/>
  <c r="G90" i="32"/>
  <c r="G100" i="32"/>
  <c r="K265" i="16" l="1"/>
  <c r="J317" i="2"/>
  <c r="J125" i="2"/>
  <c r="J271" i="2"/>
  <c r="J273" i="2"/>
  <c r="J165" i="2"/>
  <c r="E191" i="27"/>
  <c r="F191" i="27"/>
  <c r="G191" i="27"/>
  <c r="H191" i="27"/>
  <c r="I191" i="27"/>
  <c r="J191" i="27"/>
  <c r="D191" i="27"/>
  <c r="H136" i="24"/>
  <c r="J136" i="24"/>
  <c r="J208" i="16"/>
  <c r="J146" i="16"/>
  <c r="J82" i="16"/>
  <c r="J36" i="15"/>
  <c r="J248" i="2"/>
  <c r="J73" i="15"/>
  <c r="I9" i="23" l="1"/>
  <c r="I12" i="23"/>
  <c r="F100" i="31" l="1"/>
  <c r="E100" i="31"/>
  <c r="D100" i="31"/>
  <c r="C100" i="31"/>
  <c r="I98" i="31"/>
  <c r="H98" i="31"/>
  <c r="G98" i="31"/>
  <c r="I95" i="31"/>
  <c r="H95" i="31"/>
  <c r="G95" i="31"/>
  <c r="G94" i="31"/>
  <c r="I79" i="31"/>
  <c r="H79" i="31"/>
  <c r="G79" i="31"/>
  <c r="F79" i="31"/>
  <c r="F90" i="31" s="1"/>
  <c r="E79" i="31"/>
  <c r="E90" i="31" s="1"/>
  <c r="D79" i="31"/>
  <c r="D90" i="31" s="1"/>
  <c r="C79" i="31"/>
  <c r="C90" i="31" s="1"/>
  <c r="I72" i="31"/>
  <c r="H72" i="31"/>
  <c r="G72" i="31"/>
  <c r="F72" i="31"/>
  <c r="E72" i="31"/>
  <c r="D72" i="31"/>
  <c r="C72" i="31"/>
  <c r="I94" i="31"/>
  <c r="H61" i="31"/>
  <c r="G61" i="31"/>
  <c r="F61" i="31"/>
  <c r="E61" i="31"/>
  <c r="D61" i="31"/>
  <c r="C61" i="31"/>
  <c r="I47" i="31"/>
  <c r="H47" i="31"/>
  <c r="G47" i="31"/>
  <c r="F47" i="31"/>
  <c r="E47" i="31"/>
  <c r="D47" i="31"/>
  <c r="C47" i="31"/>
  <c r="I29" i="31"/>
  <c r="H29" i="31"/>
  <c r="G29" i="31"/>
  <c r="F29" i="31"/>
  <c r="E29" i="31"/>
  <c r="D29" i="31"/>
  <c r="C29" i="31"/>
  <c r="F23" i="31"/>
  <c r="I20" i="31"/>
  <c r="H20" i="31"/>
  <c r="G20" i="31"/>
  <c r="F20" i="31"/>
  <c r="E20" i="31"/>
  <c r="D20" i="31"/>
  <c r="C20" i="31"/>
  <c r="I10" i="31"/>
  <c r="H10" i="31"/>
  <c r="G10" i="31"/>
  <c r="F10" i="31"/>
  <c r="E10" i="31"/>
  <c r="D10" i="31"/>
  <c r="C10" i="31"/>
  <c r="E6" i="31"/>
  <c r="I4" i="31"/>
  <c r="H4" i="31"/>
  <c r="G4" i="31"/>
  <c r="F4" i="31"/>
  <c r="E4" i="31"/>
  <c r="D4" i="31"/>
  <c r="C4" i="31"/>
  <c r="I100" i="31" l="1"/>
  <c r="H90" i="31"/>
  <c r="H100" i="31"/>
  <c r="G100" i="31"/>
  <c r="G90" i="31"/>
  <c r="I61" i="31"/>
  <c r="I90" i="31" s="1"/>
  <c r="H72" i="4" l="1"/>
  <c r="H98" i="4"/>
  <c r="H95" i="4"/>
  <c r="I98" i="4"/>
  <c r="I94" i="4"/>
  <c r="I95" i="4"/>
  <c r="G98" i="4" l="1"/>
  <c r="I59" i="10" l="1"/>
  <c r="J6" i="11" l="1"/>
  <c r="J7" i="11"/>
  <c r="J8" i="11"/>
  <c r="J9" i="11"/>
  <c r="J10" i="11"/>
  <c r="J11" i="11"/>
  <c r="J12" i="11"/>
  <c r="J13" i="11"/>
  <c r="J14" i="11"/>
  <c r="J15" i="11"/>
  <c r="J16" i="11"/>
  <c r="J5" i="11"/>
  <c r="K4" i="3" l="1"/>
  <c r="K5" i="3"/>
  <c r="K6" i="3"/>
  <c r="K7" i="3"/>
  <c r="K8" i="3"/>
  <c r="K9" i="3"/>
  <c r="K10" i="3"/>
  <c r="K11" i="3"/>
  <c r="K12" i="3"/>
  <c r="K13" i="3"/>
  <c r="K17" i="3"/>
  <c r="K18" i="3"/>
  <c r="K19" i="3"/>
  <c r="K20" i="3"/>
  <c r="K21" i="3"/>
  <c r="K22" i="3"/>
  <c r="K23" i="3"/>
  <c r="K24" i="3"/>
  <c r="K25" i="3"/>
  <c r="K26" i="3"/>
  <c r="K27" i="3"/>
  <c r="K28" i="3"/>
  <c r="K47" i="3"/>
  <c r="K48" i="3"/>
  <c r="K49" i="3"/>
  <c r="K50" i="3"/>
  <c r="K51" i="3"/>
  <c r="K52" i="3"/>
  <c r="K53" i="3"/>
  <c r="K54" i="3"/>
  <c r="K55" i="3"/>
  <c r="K56" i="3"/>
  <c r="K59" i="3"/>
  <c r="K60" i="3"/>
  <c r="K61" i="3"/>
  <c r="K62" i="3"/>
  <c r="K63" i="3"/>
  <c r="K64" i="3"/>
  <c r="K65" i="3"/>
  <c r="K66" i="3"/>
  <c r="K67" i="3"/>
  <c r="K68" i="3"/>
  <c r="K69" i="3"/>
  <c r="K70" i="3"/>
  <c r="K73" i="3"/>
  <c r="K74" i="3"/>
  <c r="K75" i="3"/>
  <c r="K76" i="3"/>
  <c r="K77" i="3"/>
  <c r="K78" i="3"/>
  <c r="K79" i="3"/>
  <c r="K80" i="3"/>
  <c r="K83" i="3"/>
  <c r="K84" i="3"/>
  <c r="K85" i="3"/>
  <c r="K86" i="3"/>
  <c r="K87" i="3"/>
  <c r="K88" i="3"/>
  <c r="K89" i="3"/>
  <c r="K90" i="3"/>
  <c r="K91" i="3"/>
  <c r="K92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10" i="3"/>
  <c r="K111" i="3"/>
  <c r="K112" i="3"/>
  <c r="K113" i="3"/>
  <c r="K114" i="3"/>
  <c r="K115" i="3"/>
  <c r="K116" i="3"/>
  <c r="K117" i="3"/>
  <c r="K118" i="3"/>
  <c r="K119" i="3"/>
  <c r="K120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9" i="3"/>
  <c r="K140" i="3"/>
  <c r="K141" i="3"/>
  <c r="K142" i="3"/>
  <c r="K143" i="3"/>
  <c r="K144" i="3"/>
  <c r="K145" i="3"/>
  <c r="K146" i="3"/>
  <c r="K149" i="3"/>
  <c r="K150" i="3"/>
  <c r="K151" i="3"/>
  <c r="K152" i="3"/>
  <c r="K153" i="3"/>
  <c r="K154" i="3"/>
  <c r="K155" i="3"/>
  <c r="K156" i="3"/>
  <c r="K157" i="3"/>
  <c r="K158" i="3"/>
  <c r="K159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61" i="3"/>
  <c r="K262" i="3"/>
  <c r="K263" i="3"/>
  <c r="K265" i="3"/>
  <c r="K266" i="3"/>
  <c r="K267" i="3"/>
  <c r="K268" i="3"/>
  <c r="K269" i="3"/>
  <c r="K270" i="3"/>
  <c r="K271" i="3"/>
  <c r="K272" i="3"/>
  <c r="K273" i="3"/>
  <c r="K274" i="3"/>
  <c r="K275" i="3"/>
  <c r="K3" i="3"/>
  <c r="J66" i="15"/>
  <c r="L66" i="15"/>
  <c r="J67" i="15"/>
  <c r="L67" i="15"/>
  <c r="J265" i="16"/>
  <c r="J187" i="16"/>
  <c r="K187" i="16"/>
  <c r="J126" i="16"/>
  <c r="K126" i="16"/>
  <c r="J125" i="16"/>
  <c r="K125" i="16"/>
  <c r="H15" i="30" l="1"/>
  <c r="C45" i="30"/>
  <c r="C50" i="30" s="1"/>
  <c r="E37" i="30"/>
  <c r="E36" i="30"/>
  <c r="D36" i="30"/>
  <c r="G34" i="30"/>
  <c r="D34" i="30"/>
  <c r="C34" i="30"/>
  <c r="E34" i="30" s="1"/>
  <c r="D33" i="30"/>
  <c r="C33" i="30"/>
  <c r="E33" i="30" s="1"/>
  <c r="G32" i="30"/>
  <c r="D32" i="30"/>
  <c r="C32" i="30"/>
  <c r="E32" i="30" s="1"/>
  <c r="G31" i="30"/>
  <c r="D31" i="30"/>
  <c r="C31" i="30"/>
  <c r="E31" i="30" s="1"/>
  <c r="G30" i="30"/>
  <c r="D30" i="30"/>
  <c r="C30" i="30"/>
  <c r="E30" i="30" s="1"/>
  <c r="E29" i="30"/>
  <c r="D28" i="30"/>
  <c r="C28" i="30"/>
  <c r="D21" i="30"/>
  <c r="C21" i="30"/>
  <c r="E21" i="30" s="1"/>
  <c r="G20" i="30"/>
  <c r="D20" i="30"/>
  <c r="C20" i="30"/>
  <c r="E20" i="30" s="1"/>
  <c r="G19" i="30"/>
  <c r="E19" i="30"/>
  <c r="D19" i="30"/>
  <c r="G18" i="30"/>
  <c r="E18" i="30"/>
  <c r="D18" i="30"/>
  <c r="G17" i="30"/>
  <c r="E17" i="30"/>
  <c r="D17" i="30"/>
  <c r="G16" i="30"/>
  <c r="D16" i="30"/>
  <c r="C16" i="30"/>
  <c r="E16" i="30" s="1"/>
  <c r="G14" i="30"/>
  <c r="E14" i="30"/>
  <c r="D14" i="30"/>
  <c r="G12" i="30"/>
  <c r="H13" i="30" s="1"/>
  <c r="D12" i="30"/>
  <c r="C12" i="30"/>
  <c r="E12" i="30" s="1"/>
  <c r="G10" i="30"/>
  <c r="H11" i="30" s="1"/>
  <c r="D10" i="30"/>
  <c r="C10" i="30"/>
  <c r="E10" i="30" s="1"/>
  <c r="G8" i="30"/>
  <c r="H9" i="30" s="1"/>
  <c r="D8" i="30"/>
  <c r="C8" i="30"/>
  <c r="E8" i="30" s="1"/>
  <c r="G6" i="30"/>
  <c r="H7" i="30" s="1"/>
  <c r="D6" i="30"/>
  <c r="C6" i="30"/>
  <c r="G5" i="30"/>
  <c r="F5" i="30"/>
  <c r="E5" i="30"/>
  <c r="D5" i="30"/>
  <c r="D23" i="30" s="1"/>
  <c r="C5" i="30"/>
  <c r="C23" i="30" l="1"/>
  <c r="E23" i="30"/>
  <c r="E28" i="30"/>
  <c r="J118" i="2"/>
  <c r="J126" i="2"/>
  <c r="J249" i="16"/>
  <c r="J174" i="16"/>
  <c r="J31" i="14"/>
  <c r="J28" i="13"/>
  <c r="J35" i="11"/>
  <c r="J56" i="15"/>
  <c r="J68" i="12"/>
  <c r="J321" i="2"/>
  <c r="J275" i="2"/>
  <c r="G94" i="4" l="1"/>
  <c r="J4" i="22" l="1"/>
  <c r="J3" i="22"/>
  <c r="J162" i="16"/>
  <c r="J17" i="11"/>
  <c r="I17" i="11"/>
  <c r="J5" i="2"/>
  <c r="J4" i="2"/>
  <c r="P288" i="2"/>
  <c r="K23" i="18" l="1"/>
  <c r="K22" i="18"/>
  <c r="G95" i="4" l="1"/>
  <c r="F292" i="2" l="1"/>
  <c r="G29" i="20"/>
  <c r="G27" i="20"/>
  <c r="J3" i="26"/>
  <c r="J5" i="6"/>
  <c r="J3" i="8"/>
  <c r="I25" i="5"/>
  <c r="I4" i="23"/>
  <c r="J4" i="8"/>
  <c r="J17" i="29" l="1"/>
  <c r="J21" i="29" s="1"/>
  <c r="J12" i="29"/>
  <c r="J20" i="29" s="1"/>
  <c r="F7" i="29"/>
  <c r="J188" i="16"/>
  <c r="J127" i="16"/>
  <c r="K127" i="16"/>
  <c r="J123" i="16"/>
  <c r="J118" i="16"/>
  <c r="J74" i="12"/>
  <c r="J72" i="12"/>
  <c r="J71" i="12"/>
  <c r="J287" i="2"/>
  <c r="K287" i="2"/>
  <c r="J227" i="2"/>
  <c r="J173" i="2"/>
  <c r="H95" i="2"/>
  <c r="H37" i="24" s="1"/>
  <c r="F37" i="24"/>
  <c r="H36" i="24"/>
  <c r="F95" i="2"/>
  <c r="D95" i="2"/>
  <c r="H107" i="27"/>
  <c r="H261" i="3"/>
  <c r="H83" i="3"/>
  <c r="J22" i="29" l="1"/>
  <c r="F107" i="27" l="1"/>
  <c r="F247" i="27"/>
  <c r="F116" i="27"/>
  <c r="F294" i="27" s="1"/>
  <c r="F29" i="24"/>
  <c r="F312" i="27"/>
  <c r="H280" i="27"/>
  <c r="F280" i="27"/>
  <c r="G280" i="27"/>
  <c r="H116" i="27"/>
  <c r="J40" i="25" l="1"/>
  <c r="J43" i="25"/>
  <c r="J21" i="25"/>
  <c r="J18" i="25"/>
  <c r="J12" i="25"/>
  <c r="J4" i="25"/>
  <c r="H52" i="25" s="1"/>
  <c r="J5" i="25"/>
  <c r="J6" i="25"/>
  <c r="H54" i="25" s="1"/>
  <c r="J37" i="25"/>
  <c r="H71" i="25" s="1"/>
  <c r="J36" i="25"/>
  <c r="J35" i="25"/>
  <c r="J34" i="25"/>
  <c r="J33" i="25"/>
  <c r="J32" i="25"/>
  <c r="J28" i="25"/>
  <c r="J27" i="25"/>
  <c r="J26" i="25"/>
  <c r="J25" i="25"/>
  <c r="H62" i="25" s="1"/>
  <c r="J24" i="25"/>
  <c r="J23" i="25"/>
  <c r="J22" i="25"/>
  <c r="J15" i="25"/>
  <c r="J14" i="25"/>
  <c r="J13" i="25"/>
  <c r="J9" i="25"/>
  <c r="D38" i="25"/>
  <c r="G38" i="25"/>
  <c r="H38" i="25"/>
  <c r="I38" i="25"/>
  <c r="J45" i="16"/>
  <c r="D282" i="2"/>
  <c r="E282" i="2"/>
  <c r="F282" i="2"/>
  <c r="G282" i="2"/>
  <c r="I282" i="2"/>
  <c r="J281" i="2"/>
  <c r="J278" i="2"/>
  <c r="J277" i="2"/>
  <c r="D219" i="2"/>
  <c r="E219" i="2"/>
  <c r="F219" i="2"/>
  <c r="G219" i="2"/>
  <c r="I219" i="2"/>
  <c r="J218" i="2"/>
  <c r="J217" i="2"/>
  <c r="J213" i="2"/>
  <c r="J212" i="2"/>
  <c r="J130" i="2"/>
  <c r="G72" i="4"/>
  <c r="J219" i="2" l="1"/>
  <c r="J282" i="2"/>
  <c r="J256" i="16"/>
  <c r="J255" i="16"/>
  <c r="D257" i="16"/>
  <c r="E257" i="16"/>
  <c r="F257" i="16"/>
  <c r="G257" i="16"/>
  <c r="I257" i="16"/>
  <c r="J252" i="16"/>
  <c r="J251" i="16"/>
  <c r="J178" i="16"/>
  <c r="D54" i="16"/>
  <c r="E54" i="16"/>
  <c r="F54" i="16"/>
  <c r="G54" i="16"/>
  <c r="I54" i="16"/>
  <c r="J53" i="16"/>
  <c r="J50" i="16"/>
  <c r="J49" i="16"/>
  <c r="J47" i="16"/>
  <c r="J65" i="2"/>
  <c r="I26" i="5"/>
  <c r="I27" i="5"/>
  <c r="I28" i="5"/>
  <c r="I29" i="5"/>
  <c r="K208" i="16"/>
  <c r="J7" i="26"/>
  <c r="J6" i="26"/>
  <c r="J5" i="26"/>
  <c r="J4" i="26"/>
  <c r="J14" i="6"/>
  <c r="J8" i="6"/>
  <c r="I30" i="5" l="1"/>
  <c r="G33" i="30" s="1"/>
  <c r="J54" i="16"/>
  <c r="J257" i="16"/>
  <c r="J31" i="12"/>
  <c r="J19" i="11"/>
  <c r="J306" i="2"/>
  <c r="J263" i="16"/>
  <c r="J262" i="16"/>
  <c r="J261" i="16"/>
  <c r="J260" i="16"/>
  <c r="J186" i="16"/>
  <c r="J185" i="16"/>
  <c r="J184" i="16"/>
  <c r="J124" i="16"/>
  <c r="J129" i="16" s="1"/>
  <c r="P126" i="16" s="1"/>
  <c r="J122" i="16"/>
  <c r="J58" i="16"/>
  <c r="J56" i="16"/>
  <c r="J286" i="2"/>
  <c r="J285" i="2"/>
  <c r="J34" i="14"/>
  <c r="J222" i="2"/>
  <c r="J228" i="2"/>
  <c r="J31" i="13"/>
  <c r="J32" i="13"/>
  <c r="J174" i="2"/>
  <c r="J135" i="2"/>
  <c r="J39" i="11"/>
  <c r="J38" i="11"/>
  <c r="J31" i="2"/>
  <c r="I312" i="27"/>
  <c r="G28" i="20" l="1"/>
  <c r="I29" i="24"/>
  <c r="I123" i="24"/>
  <c r="I219" i="27" s="1"/>
  <c r="I220" i="27" s="1"/>
  <c r="I311" i="27" s="1"/>
  <c r="J12" i="24" l="1"/>
  <c r="J7" i="27" s="1"/>
  <c r="J11" i="24"/>
  <c r="J168" i="24"/>
  <c r="J161" i="24"/>
  <c r="J127" i="27" s="1"/>
  <c r="J160" i="24"/>
  <c r="J67" i="27" s="1"/>
  <c r="J159" i="24"/>
  <c r="J84" i="27" s="1"/>
  <c r="J197" i="24"/>
  <c r="J11" i="6"/>
  <c r="I5" i="23"/>
  <c r="J38" i="25"/>
  <c r="I129" i="16"/>
  <c r="D129" i="16"/>
  <c r="F162" i="16" l="1"/>
  <c r="I18" i="24" l="1"/>
  <c r="I19" i="24"/>
  <c r="I98" i="27" s="1"/>
  <c r="I20" i="24"/>
  <c r="I10" i="27" s="1"/>
  <c r="I21" i="24"/>
  <c r="I13" i="27" s="1"/>
  <c r="I14" i="27" s="1"/>
  <c r="I269" i="27" s="1"/>
  <c r="I113" i="27"/>
  <c r="I16" i="27"/>
  <c r="I17" i="27" s="1"/>
  <c r="I270" i="27" s="1"/>
  <c r="I11" i="27"/>
  <c r="I268" i="27" s="1"/>
  <c r="J113" i="27"/>
  <c r="J91" i="24"/>
  <c r="J65" i="27"/>
  <c r="J64" i="27"/>
  <c r="J19" i="24"/>
  <c r="G312" i="27" l="1"/>
  <c r="H312" i="27"/>
  <c r="H294" i="27"/>
  <c r="D260" i="27"/>
  <c r="E260" i="27"/>
  <c r="F260" i="27"/>
  <c r="F317" i="27" s="1"/>
  <c r="G260" i="27"/>
  <c r="G317" i="27" s="1"/>
  <c r="H260" i="27"/>
  <c r="H317" i="27" s="1"/>
  <c r="D257" i="27"/>
  <c r="E257" i="27"/>
  <c r="F257" i="27"/>
  <c r="F316" i="27" s="1"/>
  <c r="G257" i="27"/>
  <c r="G316" i="27" s="1"/>
  <c r="H257" i="27"/>
  <c r="H316" i="27" s="1"/>
  <c r="D254" i="27"/>
  <c r="E254" i="27"/>
  <c r="F254" i="27"/>
  <c r="F315" i="27" s="1"/>
  <c r="G254" i="27"/>
  <c r="G315" i="27" s="1"/>
  <c r="H254" i="27"/>
  <c r="H315" i="27" s="1"/>
  <c r="D247" i="27"/>
  <c r="E247" i="27"/>
  <c r="F314" i="27"/>
  <c r="G247" i="27"/>
  <c r="G314" i="27" s="1"/>
  <c r="H247" i="27"/>
  <c r="H314" i="27" s="1"/>
  <c r="D228" i="27"/>
  <c r="E228" i="27"/>
  <c r="F228" i="27"/>
  <c r="F313" i="27" s="1"/>
  <c r="G228" i="27"/>
  <c r="G313" i="27" s="1"/>
  <c r="H228" i="27"/>
  <c r="H313" i="27" s="1"/>
  <c r="D223" i="27"/>
  <c r="E223" i="27"/>
  <c r="F223" i="27"/>
  <c r="G223" i="27"/>
  <c r="H223" i="27"/>
  <c r="I223" i="27"/>
  <c r="D220" i="27"/>
  <c r="E220" i="27"/>
  <c r="F220" i="27"/>
  <c r="F311" i="27" s="1"/>
  <c r="G220" i="27"/>
  <c r="G311" i="27" s="1"/>
  <c r="H220" i="27"/>
  <c r="H311" i="27" s="1"/>
  <c r="D217" i="27"/>
  <c r="E217" i="27"/>
  <c r="F217" i="27"/>
  <c r="F310" i="27" s="1"/>
  <c r="G217" i="27"/>
  <c r="G310" i="27" s="1"/>
  <c r="H217" i="27"/>
  <c r="H310" i="27" s="1"/>
  <c r="D214" i="27"/>
  <c r="E214" i="27"/>
  <c r="F214" i="27"/>
  <c r="F309" i="27" s="1"/>
  <c r="G214" i="27"/>
  <c r="G309" i="27" s="1"/>
  <c r="H214" i="27"/>
  <c r="H309" i="27" s="1"/>
  <c r="D201" i="27"/>
  <c r="E201" i="27"/>
  <c r="F201" i="27"/>
  <c r="F308" i="27" s="1"/>
  <c r="G201" i="27"/>
  <c r="G308" i="27" s="1"/>
  <c r="H201" i="27"/>
  <c r="H308" i="27" s="1"/>
  <c r="D198" i="27"/>
  <c r="E198" i="27"/>
  <c r="F198" i="27"/>
  <c r="F307" i="27" s="1"/>
  <c r="G198" i="27"/>
  <c r="G307" i="27" s="1"/>
  <c r="H198" i="27"/>
  <c r="H307" i="27" s="1"/>
  <c r="D194" i="27"/>
  <c r="E194" i="27"/>
  <c r="F194" i="27"/>
  <c r="F306" i="27" s="1"/>
  <c r="G194" i="27"/>
  <c r="G306" i="27" s="1"/>
  <c r="H194" i="27"/>
  <c r="H306" i="27" s="1"/>
  <c r="I194" i="27"/>
  <c r="I306" i="27" s="1"/>
  <c r="D188" i="27"/>
  <c r="E188" i="27"/>
  <c r="F188" i="27"/>
  <c r="F304" i="27" s="1"/>
  <c r="G188" i="27"/>
  <c r="G304" i="27" s="1"/>
  <c r="H188" i="27"/>
  <c r="H304" i="27" s="1"/>
  <c r="D183" i="27"/>
  <c r="E183" i="27"/>
  <c r="F183" i="27"/>
  <c r="F303" i="27" s="1"/>
  <c r="G183" i="27"/>
  <c r="G303" i="27" s="1"/>
  <c r="H183" i="27"/>
  <c r="H303" i="27" s="1"/>
  <c r="D171" i="27"/>
  <c r="E171" i="27"/>
  <c r="F171" i="27"/>
  <c r="F302" i="27" s="1"/>
  <c r="G171" i="27"/>
  <c r="G302" i="27" s="1"/>
  <c r="D162" i="27"/>
  <c r="E162" i="27"/>
  <c r="F162" i="27"/>
  <c r="F301" i="27" s="1"/>
  <c r="G162" i="27"/>
  <c r="G301" i="27" s="1"/>
  <c r="H162" i="27"/>
  <c r="H301" i="27" s="1"/>
  <c r="D150" i="27"/>
  <c r="E150" i="27"/>
  <c r="F150" i="27"/>
  <c r="F300" i="27" s="1"/>
  <c r="G150" i="27"/>
  <c r="G300" i="27" s="1"/>
  <c r="H150" i="27"/>
  <c r="H300" i="27" s="1"/>
  <c r="D146" i="27"/>
  <c r="E146" i="27"/>
  <c r="F146" i="27"/>
  <c r="F299" i="27" s="1"/>
  <c r="G146" i="27"/>
  <c r="G299" i="27" s="1"/>
  <c r="H146" i="27"/>
  <c r="H299" i="27" s="1"/>
  <c r="D139" i="27"/>
  <c r="E139" i="27"/>
  <c r="F139" i="27"/>
  <c r="F298" i="27" s="1"/>
  <c r="G139" i="27"/>
  <c r="G298" i="27" s="1"/>
  <c r="H139" i="27"/>
  <c r="H298" i="27" s="1"/>
  <c r="D136" i="27"/>
  <c r="E136" i="27"/>
  <c r="F136" i="27"/>
  <c r="F297" i="27" s="1"/>
  <c r="G136" i="27"/>
  <c r="G297" i="27" s="1"/>
  <c r="H136" i="27"/>
  <c r="H297" i="27" s="1"/>
  <c r="D133" i="27"/>
  <c r="E133" i="27"/>
  <c r="F133" i="27"/>
  <c r="F296" i="27" s="1"/>
  <c r="G133" i="27"/>
  <c r="G296" i="27" s="1"/>
  <c r="H133" i="27"/>
  <c r="H296" i="27" s="1"/>
  <c r="D130" i="27"/>
  <c r="E130" i="27"/>
  <c r="F130" i="27"/>
  <c r="F295" i="27" s="1"/>
  <c r="G130" i="27"/>
  <c r="G295" i="27" s="1"/>
  <c r="H130" i="27"/>
  <c r="H295" i="27" s="1"/>
  <c r="D116" i="27"/>
  <c r="E116" i="27"/>
  <c r="G116" i="27"/>
  <c r="G294" i="27" s="1"/>
  <c r="D111" i="27"/>
  <c r="E111" i="27"/>
  <c r="F111" i="27"/>
  <c r="F293" i="27" s="1"/>
  <c r="G111" i="27"/>
  <c r="G293" i="27" s="1"/>
  <c r="H111" i="27"/>
  <c r="H293" i="27" s="1"/>
  <c r="D108" i="27"/>
  <c r="E108" i="27"/>
  <c r="F108" i="27"/>
  <c r="F292" i="27" s="1"/>
  <c r="G108" i="27"/>
  <c r="G292" i="27" s="1"/>
  <c r="H108" i="27"/>
  <c r="H292" i="27" s="1"/>
  <c r="D105" i="27"/>
  <c r="E105" i="27"/>
  <c r="F105" i="27"/>
  <c r="F291" i="27" s="1"/>
  <c r="G105" i="27"/>
  <c r="G291" i="27" s="1"/>
  <c r="H105" i="27"/>
  <c r="H291" i="27" s="1"/>
  <c r="D102" i="27"/>
  <c r="E102" i="27"/>
  <c r="F102" i="27"/>
  <c r="F290" i="27" s="1"/>
  <c r="G102" i="27"/>
  <c r="G290" i="27" s="1"/>
  <c r="H102" i="27"/>
  <c r="H290" i="27" s="1"/>
  <c r="D99" i="27"/>
  <c r="E99" i="27"/>
  <c r="F99" i="27"/>
  <c r="F289" i="27" s="1"/>
  <c r="G99" i="27"/>
  <c r="G289" i="27" s="1"/>
  <c r="D96" i="27"/>
  <c r="E96" i="27"/>
  <c r="F96" i="27"/>
  <c r="F288" i="27" s="1"/>
  <c r="G96" i="27"/>
  <c r="G288" i="27" s="1"/>
  <c r="H96" i="27"/>
  <c r="H288" i="27" s="1"/>
  <c r="D93" i="27"/>
  <c r="E93" i="27"/>
  <c r="F93" i="27"/>
  <c r="F287" i="27" s="1"/>
  <c r="G93" i="27"/>
  <c r="G287" i="27" s="1"/>
  <c r="H93" i="27"/>
  <c r="H287" i="27" s="1"/>
  <c r="D90" i="27"/>
  <c r="E90" i="27"/>
  <c r="F90" i="27"/>
  <c r="F286" i="27" s="1"/>
  <c r="G90" i="27"/>
  <c r="G286" i="27" s="1"/>
  <c r="H90" i="27"/>
  <c r="H286" i="27" s="1"/>
  <c r="D87" i="27"/>
  <c r="E87" i="27"/>
  <c r="F87" i="27"/>
  <c r="F285" i="27" s="1"/>
  <c r="G87" i="27"/>
  <c r="G285" i="27" s="1"/>
  <c r="H87" i="27"/>
  <c r="H285" i="27" s="1"/>
  <c r="D74" i="27"/>
  <c r="E74" i="27"/>
  <c r="F74" i="27"/>
  <c r="F284" i="27" s="1"/>
  <c r="G74" i="27"/>
  <c r="G284" i="27" s="1"/>
  <c r="H74" i="27"/>
  <c r="H284" i="27" s="1"/>
  <c r="D70" i="27"/>
  <c r="E70" i="27"/>
  <c r="F70" i="27"/>
  <c r="F283" i="27" s="1"/>
  <c r="G70" i="27"/>
  <c r="G283" i="27" s="1"/>
  <c r="H70" i="27"/>
  <c r="H283" i="27" s="1"/>
  <c r="D62" i="27"/>
  <c r="E62" i="27"/>
  <c r="F62" i="27"/>
  <c r="F282" i="27" s="1"/>
  <c r="G62" i="27"/>
  <c r="G282" i="27" s="1"/>
  <c r="H62" i="27"/>
  <c r="H282" i="27" s="1"/>
  <c r="D58" i="27"/>
  <c r="E58" i="27"/>
  <c r="F58" i="27"/>
  <c r="F281" i="27" s="1"/>
  <c r="G58" i="27"/>
  <c r="G281" i="27" s="1"/>
  <c r="H58" i="27"/>
  <c r="H281" i="27" s="1"/>
  <c r="D52" i="27"/>
  <c r="E52" i="27"/>
  <c r="F52" i="27"/>
  <c r="G52" i="27"/>
  <c r="H52" i="27"/>
  <c r="D46" i="27"/>
  <c r="E46" i="27"/>
  <c r="F46" i="27"/>
  <c r="F279" i="27" s="1"/>
  <c r="G46" i="27"/>
  <c r="G279" i="27" s="1"/>
  <c r="H46" i="27"/>
  <c r="H279" i="27" s="1"/>
  <c r="D43" i="27"/>
  <c r="E43" i="27"/>
  <c r="F43" i="27"/>
  <c r="F277" i="27" s="1"/>
  <c r="G43" i="27"/>
  <c r="G277" i="27" s="1"/>
  <c r="H43" i="27"/>
  <c r="H277" i="27" s="1"/>
  <c r="D40" i="27"/>
  <c r="E40" i="27"/>
  <c r="F40" i="27"/>
  <c r="F276" i="27" s="1"/>
  <c r="G40" i="27"/>
  <c r="G276" i="27" s="1"/>
  <c r="H40" i="27"/>
  <c r="H276" i="27" s="1"/>
  <c r="D36" i="27"/>
  <c r="E36" i="27"/>
  <c r="F36" i="27"/>
  <c r="F275" i="27" s="1"/>
  <c r="G36" i="27"/>
  <c r="G275" i="27" s="1"/>
  <c r="H36" i="27"/>
  <c r="H275" i="27" s="1"/>
  <c r="D30" i="27"/>
  <c r="E30" i="27"/>
  <c r="F30" i="27"/>
  <c r="F274" i="27" s="1"/>
  <c r="G30" i="27"/>
  <c r="G274" i="27" s="1"/>
  <c r="H30" i="27"/>
  <c r="H274" i="27" s="1"/>
  <c r="D24" i="27"/>
  <c r="E24" i="27"/>
  <c r="F24" i="27"/>
  <c r="F273" i="27" s="1"/>
  <c r="G24" i="27"/>
  <c r="G273" i="27" s="1"/>
  <c r="H24" i="27"/>
  <c r="H273" i="27" s="1"/>
  <c r="D21" i="27"/>
  <c r="E21" i="27"/>
  <c r="F21" i="27"/>
  <c r="F271" i="27" s="1"/>
  <c r="G21" i="27"/>
  <c r="G271" i="27" s="1"/>
  <c r="H21" i="27"/>
  <c r="H271" i="27" s="1"/>
  <c r="D17" i="27"/>
  <c r="E17" i="27"/>
  <c r="F17" i="27"/>
  <c r="G17" i="27"/>
  <c r="H17" i="27"/>
  <c r="D14" i="27"/>
  <c r="E14" i="27"/>
  <c r="F14" i="27"/>
  <c r="F269" i="27" s="1"/>
  <c r="G14" i="27"/>
  <c r="G269" i="27" s="1"/>
  <c r="H14" i="27"/>
  <c r="H269" i="27" s="1"/>
  <c r="D11" i="27"/>
  <c r="E11" i="27"/>
  <c r="F11" i="27"/>
  <c r="F268" i="27" s="1"/>
  <c r="G11" i="27"/>
  <c r="G268" i="27" s="1"/>
  <c r="H11" i="27"/>
  <c r="H268" i="27" s="1"/>
  <c r="D8" i="27"/>
  <c r="E8" i="27"/>
  <c r="F8" i="27"/>
  <c r="F267" i="27" s="1"/>
  <c r="G8" i="27"/>
  <c r="G267" i="27" s="1"/>
  <c r="H8" i="27"/>
  <c r="H267" i="27" s="1"/>
  <c r="D5" i="27"/>
  <c r="E5" i="27"/>
  <c r="F5" i="27"/>
  <c r="F266" i="27" s="1"/>
  <c r="G5" i="27"/>
  <c r="G266" i="27" s="1"/>
  <c r="H5" i="27"/>
  <c r="H266" i="27" s="1"/>
  <c r="D198" i="24"/>
  <c r="E198" i="24"/>
  <c r="F198" i="24"/>
  <c r="G198" i="24"/>
  <c r="D180" i="24"/>
  <c r="E180" i="24"/>
  <c r="F180" i="24"/>
  <c r="G180" i="24"/>
  <c r="D169" i="24"/>
  <c r="E169" i="24"/>
  <c r="F169" i="24"/>
  <c r="G169" i="24"/>
  <c r="D157" i="24"/>
  <c r="E157" i="24"/>
  <c r="F157" i="24"/>
  <c r="G157" i="24"/>
  <c r="D147" i="24"/>
  <c r="E147" i="24"/>
  <c r="F147" i="24"/>
  <c r="G147" i="24"/>
  <c r="E137" i="24"/>
  <c r="G137" i="24"/>
  <c r="D117" i="24"/>
  <c r="E117" i="24"/>
  <c r="G117" i="24"/>
  <c r="D104" i="24"/>
  <c r="E104" i="24"/>
  <c r="F104" i="24"/>
  <c r="G104" i="24"/>
  <c r="D93" i="24"/>
  <c r="E93" i="24"/>
  <c r="F93" i="24"/>
  <c r="G93" i="24"/>
  <c r="D86" i="24"/>
  <c r="E86" i="24"/>
  <c r="F86" i="24"/>
  <c r="G86" i="24"/>
  <c r="D75" i="24"/>
  <c r="E75" i="24"/>
  <c r="G75" i="24"/>
  <c r="D54" i="24"/>
  <c r="E54" i="24"/>
  <c r="G54" i="24"/>
  <c r="D46" i="24"/>
  <c r="E46" i="24"/>
  <c r="F46" i="24"/>
  <c r="G46" i="24"/>
  <c r="D38" i="24"/>
  <c r="E38" i="24"/>
  <c r="F38" i="24"/>
  <c r="G38" i="24"/>
  <c r="D29" i="24"/>
  <c r="E29" i="24"/>
  <c r="G29" i="24"/>
  <c r="H29" i="24"/>
  <c r="D22" i="24"/>
  <c r="E22" i="24"/>
  <c r="F22" i="24"/>
  <c r="G22" i="24"/>
  <c r="D9" i="24"/>
  <c r="E9" i="24"/>
  <c r="F9" i="24"/>
  <c r="G9" i="24"/>
  <c r="J223" i="27"/>
  <c r="J194" i="27"/>
  <c r="J17" i="27"/>
  <c r="K222" i="27"/>
  <c r="K16" i="27"/>
  <c r="K28" i="24"/>
  <c r="K27" i="24"/>
  <c r="K26" i="24"/>
  <c r="K25" i="24"/>
  <c r="J18" i="13"/>
  <c r="J15" i="14"/>
  <c r="J6" i="14"/>
  <c r="J7" i="14"/>
  <c r="J8" i="14"/>
  <c r="J9" i="14"/>
  <c r="J10" i="14"/>
  <c r="J11" i="14"/>
  <c r="J12" i="14"/>
  <c r="J5" i="14"/>
  <c r="J6" i="13"/>
  <c r="J7" i="13"/>
  <c r="J8" i="13"/>
  <c r="J9" i="13"/>
  <c r="J10" i="13"/>
  <c r="J11" i="13"/>
  <c r="J12" i="13"/>
  <c r="J13" i="13"/>
  <c r="J14" i="13"/>
  <c r="J293" i="2"/>
  <c r="J294" i="2"/>
  <c r="J295" i="2"/>
  <c r="J296" i="2"/>
  <c r="J297" i="2"/>
  <c r="J298" i="2"/>
  <c r="J299" i="2"/>
  <c r="J300" i="2"/>
  <c r="J301" i="2"/>
  <c r="J302" i="2"/>
  <c r="J303" i="2"/>
  <c r="J292" i="2"/>
  <c r="J17" i="12"/>
  <c r="J18" i="12"/>
  <c r="J19" i="12"/>
  <c r="J20" i="12"/>
  <c r="J21" i="12"/>
  <c r="J22" i="12"/>
  <c r="J23" i="12"/>
  <c r="J24" i="12"/>
  <c r="J25" i="12"/>
  <c r="J26" i="12"/>
  <c r="J27" i="12"/>
  <c r="J28" i="12"/>
  <c r="J16" i="12"/>
  <c r="K98" i="27"/>
  <c r="J98" i="27"/>
  <c r="J99" i="27" s="1"/>
  <c r="I99" i="27"/>
  <c r="I289" i="27" s="1"/>
  <c r="H98" i="27"/>
  <c r="H99" i="27" s="1"/>
  <c r="H289" i="27" s="1"/>
  <c r="I6" i="24"/>
  <c r="I7" i="24"/>
  <c r="I115" i="27" s="1"/>
  <c r="I8" i="24"/>
  <c r="I5" i="24"/>
  <c r="K323" i="27"/>
  <c r="K324" i="27" s="1"/>
  <c r="I231" i="27"/>
  <c r="I203" i="27"/>
  <c r="I183" i="24"/>
  <c r="I35" i="27" s="1"/>
  <c r="I184" i="24"/>
  <c r="I69" i="27" s="1"/>
  <c r="I185" i="24"/>
  <c r="I129" i="27" s="1"/>
  <c r="I186" i="24"/>
  <c r="I170" i="27" s="1"/>
  <c r="I187" i="24"/>
  <c r="I161" i="27" s="1"/>
  <c r="I188" i="24"/>
  <c r="I246" i="27" s="1"/>
  <c r="I189" i="24"/>
  <c r="I190" i="24"/>
  <c r="I213" i="27" s="1"/>
  <c r="I191" i="24"/>
  <c r="I57" i="27" s="1"/>
  <c r="I192" i="24"/>
  <c r="I193" i="24"/>
  <c r="I256" i="27" s="1"/>
  <c r="I257" i="27" s="1"/>
  <c r="I316" i="27" s="1"/>
  <c r="I194" i="24"/>
  <c r="I195" i="24"/>
  <c r="I196" i="24"/>
  <c r="I197" i="24"/>
  <c r="I145" i="27" s="1"/>
  <c r="I182" i="24"/>
  <c r="I172" i="24"/>
  <c r="I34" i="27" s="1"/>
  <c r="I173" i="24"/>
  <c r="I68" i="27" s="1"/>
  <c r="I174" i="24"/>
  <c r="I128" i="27" s="1"/>
  <c r="I175" i="24"/>
  <c r="I245" i="27" s="1"/>
  <c r="I176" i="24"/>
  <c r="I56" i="27" s="1"/>
  <c r="I177" i="24"/>
  <c r="I252" i="27" s="1"/>
  <c r="I178" i="24"/>
  <c r="I179" i="24"/>
  <c r="I144" i="27" s="1"/>
  <c r="I171" i="24"/>
  <c r="I160" i="24"/>
  <c r="I67" i="27" s="1"/>
  <c r="I161" i="24"/>
  <c r="I127" i="27" s="1"/>
  <c r="I162" i="24"/>
  <c r="I160" i="27" s="1"/>
  <c r="I163" i="24"/>
  <c r="I244" i="27" s="1"/>
  <c r="I164" i="24"/>
  <c r="I212" i="27" s="1"/>
  <c r="I165" i="24"/>
  <c r="I166" i="24"/>
  <c r="I181" i="27" s="1"/>
  <c r="I167" i="24"/>
  <c r="I45" i="27" s="1"/>
  <c r="I46" i="27" s="1"/>
  <c r="I168" i="24"/>
  <c r="I143" i="27" s="1"/>
  <c r="I159" i="24"/>
  <c r="I150" i="24"/>
  <c r="I33" i="27" s="1"/>
  <c r="I151" i="24"/>
  <c r="I125" i="27" s="1"/>
  <c r="I152" i="24"/>
  <c r="I169" i="27" s="1"/>
  <c r="I153" i="24"/>
  <c r="I159" i="27" s="1"/>
  <c r="I154" i="24"/>
  <c r="I243" i="27" s="1"/>
  <c r="I155" i="24"/>
  <c r="I126" i="27" s="1"/>
  <c r="I156" i="24"/>
  <c r="I251" i="27" s="1"/>
  <c r="I149" i="24"/>
  <c r="I141" i="24"/>
  <c r="I124" i="27" s="1"/>
  <c r="I142" i="24"/>
  <c r="I158" i="27" s="1"/>
  <c r="I143" i="24"/>
  <c r="I242" i="27" s="1"/>
  <c r="I144" i="24"/>
  <c r="I211" i="27" s="1"/>
  <c r="I145" i="24"/>
  <c r="I216" i="27" s="1"/>
  <c r="I217" i="27" s="1"/>
  <c r="I310" i="27" s="1"/>
  <c r="I146" i="24"/>
  <c r="I180" i="27" s="1"/>
  <c r="I139" i="24"/>
  <c r="I120" i="24"/>
  <c r="I20" i="27" s="1"/>
  <c r="I121" i="24"/>
  <c r="I19" i="27" s="1"/>
  <c r="I21" i="27" s="1"/>
  <c r="I271" i="27" s="1"/>
  <c r="I122" i="24"/>
  <c r="I81" i="27" s="1"/>
  <c r="I124" i="24"/>
  <c r="I123" i="27" s="1"/>
  <c r="I125" i="24"/>
  <c r="I227" i="27" s="1"/>
  <c r="I126" i="24"/>
  <c r="I149" i="27" s="1"/>
  <c r="I127" i="24"/>
  <c r="I157" i="27" s="1"/>
  <c r="I128" i="24"/>
  <c r="I241" i="27" s="1"/>
  <c r="I129" i="24"/>
  <c r="I187" i="27" s="1"/>
  <c r="I130" i="24"/>
  <c r="I131" i="24"/>
  <c r="I210" i="27" s="1"/>
  <c r="I132" i="24"/>
  <c r="I179" i="27" s="1"/>
  <c r="I133" i="24"/>
  <c r="I168" i="27" s="1"/>
  <c r="I134" i="24"/>
  <c r="I119" i="24"/>
  <c r="I107" i="24"/>
  <c r="I51" i="27" s="1"/>
  <c r="I108" i="24"/>
  <c r="I122" i="27" s="1"/>
  <c r="I109" i="24"/>
  <c r="I240" i="27" s="1"/>
  <c r="I110" i="24"/>
  <c r="I38" i="27" s="1"/>
  <c r="I111" i="24"/>
  <c r="I185" i="27" s="1"/>
  <c r="I188" i="27" s="1"/>
  <c r="I304" i="27" s="1"/>
  <c r="I112" i="24"/>
  <c r="I186" i="27" s="1"/>
  <c r="I113" i="24"/>
  <c r="I132" i="27" s="1"/>
  <c r="I114" i="24"/>
  <c r="I250" i="27" s="1"/>
  <c r="I115" i="24"/>
  <c r="I116" i="24"/>
  <c r="I141" i="27" s="1"/>
  <c r="I106" i="24"/>
  <c r="I96" i="24"/>
  <c r="I177" i="27" s="1"/>
  <c r="I97" i="24"/>
  <c r="I167" i="27" s="1"/>
  <c r="I98" i="24"/>
  <c r="I239" i="27" s="1"/>
  <c r="I99" i="24"/>
  <c r="I197" i="27" s="1"/>
  <c r="I100" i="24"/>
  <c r="I209" i="27" s="1"/>
  <c r="I101" i="24"/>
  <c r="I23" i="27" s="1"/>
  <c r="I24" i="27" s="1"/>
  <c r="I273" i="27" s="1"/>
  <c r="I102" i="24"/>
  <c r="I61" i="27" s="1"/>
  <c r="I103" i="24"/>
  <c r="I178" i="27" s="1"/>
  <c r="I95" i="24"/>
  <c r="I89" i="24"/>
  <c r="I121" i="27" s="1"/>
  <c r="I90" i="24"/>
  <c r="I238" i="27" s="1"/>
  <c r="I91" i="24"/>
  <c r="I92" i="24"/>
  <c r="I259" i="27" s="1"/>
  <c r="I260" i="27" s="1"/>
  <c r="I317" i="27" s="1"/>
  <c r="I88" i="24"/>
  <c r="I93" i="24" s="1"/>
  <c r="I78" i="24"/>
  <c r="I79" i="24"/>
  <c r="I120" i="27" s="1"/>
  <c r="I80" i="24"/>
  <c r="I176" i="27" s="1"/>
  <c r="I81" i="24"/>
  <c r="I156" i="27" s="1"/>
  <c r="I82" i="24"/>
  <c r="I237" i="27" s="1"/>
  <c r="I83" i="24"/>
  <c r="I208" i="27" s="1"/>
  <c r="I84" i="24"/>
  <c r="I55" i="27" s="1"/>
  <c r="I85" i="24"/>
  <c r="I77" i="24"/>
  <c r="I57" i="24"/>
  <c r="I4" i="27" s="1"/>
  <c r="I58" i="24"/>
  <c r="I76" i="27" s="1"/>
  <c r="I59" i="24"/>
  <c r="I60" i="24"/>
  <c r="I61" i="24"/>
  <c r="I119" i="27" s="1"/>
  <c r="I62" i="24"/>
  <c r="I175" i="27" s="1"/>
  <c r="I63" i="24"/>
  <c r="I64" i="24"/>
  <c r="I226" i="27" s="1"/>
  <c r="I65" i="24"/>
  <c r="I148" i="27" s="1"/>
  <c r="I150" i="27" s="1"/>
  <c r="I300" i="27" s="1"/>
  <c r="I66" i="24"/>
  <c r="I155" i="27" s="1"/>
  <c r="I67" i="24"/>
  <c r="I236" i="27" s="1"/>
  <c r="I68" i="24"/>
  <c r="I114" i="27" s="1"/>
  <c r="I69" i="24"/>
  <c r="I207" i="27" s="1"/>
  <c r="I70" i="24"/>
  <c r="I73" i="27" s="1"/>
  <c r="I71" i="24"/>
  <c r="I54" i="27" s="1"/>
  <c r="I72" i="24"/>
  <c r="I249" i="27" s="1"/>
  <c r="I73" i="24"/>
  <c r="I89" i="27" s="1"/>
  <c r="I90" i="27" s="1"/>
  <c r="I286" i="27" s="1"/>
  <c r="I74" i="24"/>
  <c r="I56" i="24"/>
  <c r="I49" i="24"/>
  <c r="I174" i="27" s="1"/>
  <c r="I50" i="24"/>
  <c r="I235" i="27" s="1"/>
  <c r="I51" i="24"/>
  <c r="I196" i="27" s="1"/>
  <c r="I52" i="24"/>
  <c r="I206" i="27" s="1"/>
  <c r="I53" i="24"/>
  <c r="I60" i="27" s="1"/>
  <c r="I62" i="27" s="1"/>
  <c r="I282" i="27" s="1"/>
  <c r="I48" i="24"/>
  <c r="I41" i="24"/>
  <c r="I230" i="27" s="1"/>
  <c r="I42" i="24"/>
  <c r="I205" i="27" s="1"/>
  <c r="I43" i="24"/>
  <c r="I101" i="27" s="1"/>
  <c r="I102" i="27" s="1"/>
  <c r="I290" i="27" s="1"/>
  <c r="I44" i="24"/>
  <c r="I45" i="24"/>
  <c r="I200" i="27" s="1"/>
  <c r="I201" i="27" s="1"/>
  <c r="I308" i="27" s="1"/>
  <c r="I40" i="24"/>
  <c r="I33" i="24"/>
  <c r="I225" i="27" s="1"/>
  <c r="I228" i="27" s="1"/>
  <c r="I313" i="27" s="1"/>
  <c r="I34" i="24"/>
  <c r="I165" i="27" s="1"/>
  <c r="I35" i="24"/>
  <c r="I154" i="27" s="1"/>
  <c r="I36" i="24"/>
  <c r="I234" i="27" s="1"/>
  <c r="I37" i="24"/>
  <c r="I32" i="24"/>
  <c r="I12" i="24"/>
  <c r="I95" i="27" s="1"/>
  <c r="I96" i="27" s="1"/>
  <c r="I288" i="27" s="1"/>
  <c r="I13" i="24"/>
  <c r="I7" i="27" s="1"/>
  <c r="I8" i="27" s="1"/>
  <c r="I267" i="27" s="1"/>
  <c r="I14" i="24"/>
  <c r="I173" i="27" s="1"/>
  <c r="I15" i="24"/>
  <c r="I164" i="27" s="1"/>
  <c r="I16" i="24"/>
  <c r="I153" i="27" s="1"/>
  <c r="I17" i="24"/>
  <c r="I232" i="27" s="1"/>
  <c r="I204" i="27"/>
  <c r="I11" i="24"/>
  <c r="J183" i="24"/>
  <c r="J35" i="27" s="1"/>
  <c r="J184" i="24"/>
  <c r="J69" i="27" s="1"/>
  <c r="J185" i="24"/>
  <c r="J129" i="27" s="1"/>
  <c r="J186" i="24"/>
  <c r="J170" i="27" s="1"/>
  <c r="J187" i="24"/>
  <c r="J161" i="27" s="1"/>
  <c r="J188" i="24"/>
  <c r="J246" i="27" s="1"/>
  <c r="J189" i="24"/>
  <c r="J190" i="24"/>
  <c r="J213" i="27" s="1"/>
  <c r="J191" i="24"/>
  <c r="J57" i="27" s="1"/>
  <c r="J192" i="24"/>
  <c r="J193" i="24"/>
  <c r="J256" i="27" s="1"/>
  <c r="J257" i="27" s="1"/>
  <c r="J194" i="24"/>
  <c r="J195" i="24"/>
  <c r="J196" i="24"/>
  <c r="J145" i="27"/>
  <c r="J182" i="24"/>
  <c r="J172" i="24"/>
  <c r="J34" i="27" s="1"/>
  <c r="J173" i="24"/>
  <c r="J68" i="27" s="1"/>
  <c r="J70" i="27" s="1"/>
  <c r="J283" i="27" s="1"/>
  <c r="J174" i="24"/>
  <c r="J128" i="27" s="1"/>
  <c r="J175" i="24"/>
  <c r="J245" i="27" s="1"/>
  <c r="J176" i="24"/>
  <c r="J56" i="27" s="1"/>
  <c r="J177" i="24"/>
  <c r="J252" i="27" s="1"/>
  <c r="J178" i="24"/>
  <c r="J42" i="27" s="1"/>
  <c r="J43" i="27" s="1"/>
  <c r="J179" i="24"/>
  <c r="J171" i="24"/>
  <c r="J85" i="27" s="1"/>
  <c r="J162" i="24"/>
  <c r="J160" i="27" s="1"/>
  <c r="J163" i="24"/>
  <c r="J244" i="27" s="1"/>
  <c r="J164" i="24"/>
  <c r="J212" i="27" s="1"/>
  <c r="J165" i="24"/>
  <c r="J166" i="24"/>
  <c r="J181" i="27" s="1"/>
  <c r="J167" i="24"/>
  <c r="J143" i="27"/>
  <c r="J150" i="24"/>
  <c r="J33" i="27" s="1"/>
  <c r="J151" i="24"/>
  <c r="J125" i="27" s="1"/>
  <c r="J152" i="24"/>
  <c r="J169" i="27" s="1"/>
  <c r="J153" i="24"/>
  <c r="J159" i="27" s="1"/>
  <c r="J154" i="24"/>
  <c r="J243" i="27" s="1"/>
  <c r="J155" i="24"/>
  <c r="J126" i="27" s="1"/>
  <c r="J156" i="24"/>
  <c r="J251" i="27" s="1"/>
  <c r="J149" i="24"/>
  <c r="J83" i="27" s="1"/>
  <c r="J141" i="24"/>
  <c r="J124" i="27" s="1"/>
  <c r="J142" i="24"/>
  <c r="J143" i="24"/>
  <c r="J242" i="27" s="1"/>
  <c r="J144" i="24"/>
  <c r="J211" i="27" s="1"/>
  <c r="J145" i="24"/>
  <c r="J216" i="27" s="1"/>
  <c r="J217" i="27" s="1"/>
  <c r="J146" i="24"/>
  <c r="J180" i="27" s="1"/>
  <c r="J139" i="24"/>
  <c r="J82" i="27" s="1"/>
  <c r="J120" i="24"/>
  <c r="J19" i="27" s="1"/>
  <c r="J121" i="24"/>
  <c r="J20" i="27" s="1"/>
  <c r="J122" i="24"/>
  <c r="J81" i="27" s="1"/>
  <c r="J123" i="24"/>
  <c r="J219" i="27" s="1"/>
  <c r="J220" i="27" s="1"/>
  <c r="J124" i="24"/>
  <c r="J123" i="27" s="1"/>
  <c r="J125" i="24"/>
  <c r="J227" i="27" s="1"/>
  <c r="J126" i="24"/>
  <c r="J149" i="27" s="1"/>
  <c r="J127" i="24"/>
  <c r="J157" i="27" s="1"/>
  <c r="J128" i="24"/>
  <c r="J129" i="24"/>
  <c r="J187" i="27" s="1"/>
  <c r="J130" i="24"/>
  <c r="J131" i="24"/>
  <c r="J210" i="27" s="1"/>
  <c r="J132" i="24"/>
  <c r="J179" i="27" s="1"/>
  <c r="J133" i="24"/>
  <c r="J168" i="27" s="1"/>
  <c r="J134" i="24"/>
  <c r="J138" i="27" s="1"/>
  <c r="J139" i="27" s="1"/>
  <c r="J119" i="24"/>
  <c r="J107" i="24"/>
  <c r="J51" i="27" s="1"/>
  <c r="J280" i="27" s="1"/>
  <c r="J108" i="24"/>
  <c r="J122" i="27" s="1"/>
  <c r="J109" i="24"/>
  <c r="J240" i="27" s="1"/>
  <c r="J110" i="24"/>
  <c r="J38" i="27" s="1"/>
  <c r="J111" i="24"/>
  <c r="J185" i="27" s="1"/>
  <c r="J112" i="24"/>
  <c r="J186" i="27" s="1"/>
  <c r="J113" i="24"/>
  <c r="J132" i="27" s="1"/>
  <c r="J114" i="24"/>
  <c r="J250" i="27" s="1"/>
  <c r="J115" i="24"/>
  <c r="J39" i="27" s="1"/>
  <c r="J116" i="24"/>
  <c r="J141" i="27" s="1"/>
  <c r="K106" i="24"/>
  <c r="J106" i="24"/>
  <c r="J96" i="24"/>
  <c r="J177" i="27" s="1"/>
  <c r="J97" i="24"/>
  <c r="J167" i="27" s="1"/>
  <c r="J98" i="24"/>
  <c r="J239" i="27" s="1"/>
  <c r="J99" i="24"/>
  <c r="J197" i="27" s="1"/>
  <c r="J100" i="24"/>
  <c r="J209" i="27" s="1"/>
  <c r="J101" i="24"/>
  <c r="J23" i="27" s="1"/>
  <c r="J24" i="27" s="1"/>
  <c r="J102" i="24"/>
  <c r="J61" i="27" s="1"/>
  <c r="J103" i="24"/>
  <c r="J178" i="27" s="1"/>
  <c r="J95" i="24"/>
  <c r="J79" i="27" s="1"/>
  <c r="J89" i="24"/>
  <c r="J121" i="27" s="1"/>
  <c r="J90" i="24"/>
  <c r="J238" i="27" s="1"/>
  <c r="J92" i="27"/>
  <c r="J93" i="27" s="1"/>
  <c r="J92" i="24"/>
  <c r="J259" i="27" s="1"/>
  <c r="J260" i="27" s="1"/>
  <c r="J317" i="27" s="1"/>
  <c r="J88" i="24"/>
  <c r="J78" i="27" s="1"/>
  <c r="J78" i="24"/>
  <c r="J79" i="24"/>
  <c r="J120" i="27" s="1"/>
  <c r="J80" i="24"/>
  <c r="J176" i="27" s="1"/>
  <c r="J81" i="24"/>
  <c r="J156" i="27" s="1"/>
  <c r="J82" i="24"/>
  <c r="J237" i="27" s="1"/>
  <c r="J83" i="24"/>
  <c r="J208" i="27" s="1"/>
  <c r="J84" i="24"/>
  <c r="J55" i="27" s="1"/>
  <c r="J85" i="24"/>
  <c r="J29" i="27" s="1"/>
  <c r="J30" i="27" s="1"/>
  <c r="J274" i="27" s="1"/>
  <c r="J77" i="24"/>
  <c r="J77" i="27" s="1"/>
  <c r="J57" i="24"/>
  <c r="J4" i="27" s="1"/>
  <c r="J58" i="24"/>
  <c r="J76" i="27" s="1"/>
  <c r="J59" i="24"/>
  <c r="J60" i="24"/>
  <c r="J110" i="27" s="1"/>
  <c r="J111" i="27" s="1"/>
  <c r="J61" i="24"/>
  <c r="J119" i="27" s="1"/>
  <c r="J62" i="24"/>
  <c r="J175" i="27" s="1"/>
  <c r="J63" i="24"/>
  <c r="J104" i="27" s="1"/>
  <c r="J105" i="27" s="1"/>
  <c r="J64" i="24"/>
  <c r="J226" i="27" s="1"/>
  <c r="J65" i="24"/>
  <c r="J148" i="27" s="1"/>
  <c r="J66" i="24"/>
  <c r="J155" i="27" s="1"/>
  <c r="J67" i="24"/>
  <c r="J236" i="27" s="1"/>
  <c r="J68" i="24"/>
  <c r="J114" i="27" s="1"/>
  <c r="J69" i="24"/>
  <c r="J207" i="27" s="1"/>
  <c r="J70" i="24"/>
  <c r="J73" i="27" s="1"/>
  <c r="J71" i="24"/>
  <c r="J54" i="27" s="1"/>
  <c r="J72" i="24"/>
  <c r="J249" i="27" s="1"/>
  <c r="J73" i="24"/>
  <c r="J89" i="27" s="1"/>
  <c r="J90" i="27" s="1"/>
  <c r="J74" i="24"/>
  <c r="J56" i="24"/>
  <c r="J3" i="27" s="1"/>
  <c r="J5" i="27" s="1"/>
  <c r="J49" i="24"/>
  <c r="J174" i="27" s="1"/>
  <c r="J50" i="24"/>
  <c r="J235" i="27" s="1"/>
  <c r="J51" i="24"/>
  <c r="J196" i="27" s="1"/>
  <c r="J52" i="24"/>
  <c r="J206" i="27" s="1"/>
  <c r="J53" i="24"/>
  <c r="J60" i="27" s="1"/>
  <c r="J62" i="27" s="1"/>
  <c r="J48" i="24"/>
  <c r="J166" i="27" s="1"/>
  <c r="J41" i="24"/>
  <c r="J230" i="27" s="1"/>
  <c r="J42" i="24"/>
  <c r="J205" i="27" s="1"/>
  <c r="J43" i="24"/>
  <c r="J101" i="27" s="1"/>
  <c r="J102" i="27" s="1"/>
  <c r="J44" i="24"/>
  <c r="J72" i="27" s="1"/>
  <c r="J45" i="24"/>
  <c r="J200" i="27" s="1"/>
  <c r="J201" i="27" s="1"/>
  <c r="J40" i="24"/>
  <c r="J32" i="27" s="1"/>
  <c r="J36" i="27" s="1"/>
  <c r="J275" i="27" s="1"/>
  <c r="J33" i="24"/>
  <c r="J225" i="27" s="1"/>
  <c r="J228" i="27" s="1"/>
  <c r="J34" i="24"/>
  <c r="J165" i="27" s="1"/>
  <c r="J35" i="24"/>
  <c r="J154" i="27" s="1"/>
  <c r="J36" i="24"/>
  <c r="J234" i="27" s="1"/>
  <c r="J37" i="24"/>
  <c r="J107" i="27" s="1"/>
  <c r="J108" i="27" s="1"/>
  <c r="J32" i="24"/>
  <c r="J118" i="27" s="1"/>
  <c r="J95" i="27"/>
  <c r="J96" i="27" s="1"/>
  <c r="J13" i="24"/>
  <c r="J14" i="24"/>
  <c r="J173" i="27" s="1"/>
  <c r="J15" i="24"/>
  <c r="J164" i="27" s="1"/>
  <c r="J16" i="24"/>
  <c r="J153" i="27" s="1"/>
  <c r="J17" i="24"/>
  <c r="J232" i="27" s="1"/>
  <c r="J18" i="24"/>
  <c r="J204" i="27" s="1"/>
  <c r="J20" i="24"/>
  <c r="J10" i="27" s="1"/>
  <c r="J21" i="24"/>
  <c r="J13" i="27" s="1"/>
  <c r="J14" i="27" s="1"/>
  <c r="J135" i="27"/>
  <c r="J136" i="27" s="1"/>
  <c r="J6" i="24"/>
  <c r="J231" i="27" s="1"/>
  <c r="J7" i="24"/>
  <c r="J8" i="24"/>
  <c r="J203" i="27" s="1"/>
  <c r="J5" i="24"/>
  <c r="J152" i="27" s="1"/>
  <c r="G47" i="4"/>
  <c r="G200" i="24" l="1"/>
  <c r="G322" i="27" s="1"/>
  <c r="E200" i="24"/>
  <c r="D200" i="24"/>
  <c r="I137" i="24"/>
  <c r="J241" i="27"/>
  <c r="J247" i="27" s="1"/>
  <c r="J198" i="27"/>
  <c r="I52" i="27"/>
  <c r="I280" i="27"/>
  <c r="J144" i="27"/>
  <c r="J146" i="27" s="1"/>
  <c r="J180" i="24"/>
  <c r="J158" i="27"/>
  <c r="J162" i="27" s="1"/>
  <c r="J147" i="24"/>
  <c r="F318" i="27"/>
  <c r="F323" i="27" s="1"/>
  <c r="J150" i="27"/>
  <c r="I110" i="27"/>
  <c r="I111" i="27" s="1"/>
  <c r="I293" i="27" s="1"/>
  <c r="I104" i="24"/>
  <c r="I79" i="27"/>
  <c r="I116" i="27"/>
  <c r="I294" i="27" s="1"/>
  <c r="J21" i="27"/>
  <c r="I22" i="24"/>
  <c r="I135" i="27"/>
  <c r="I136" i="27" s="1"/>
  <c r="I297" i="27" s="1"/>
  <c r="I54" i="24"/>
  <c r="I166" i="27"/>
  <c r="I75" i="24"/>
  <c r="I3" i="27"/>
  <c r="I5" i="27" s="1"/>
  <c r="I266" i="27" s="1"/>
  <c r="I104" i="27"/>
  <c r="I105" i="27" s="1"/>
  <c r="I291" i="27" s="1"/>
  <c r="I138" i="27"/>
  <c r="I139" i="27" s="1"/>
  <c r="I298" i="27" s="1"/>
  <c r="I38" i="24"/>
  <c r="I32" i="27"/>
  <c r="I36" i="27" s="1"/>
  <c r="I275" i="27" s="1"/>
  <c r="I46" i="24"/>
  <c r="I80" i="27"/>
  <c r="I117" i="24"/>
  <c r="I254" i="27"/>
  <c r="I315" i="27" s="1"/>
  <c r="I77" i="27"/>
  <c r="I86" i="24"/>
  <c r="I83" i="27"/>
  <c r="I157" i="24"/>
  <c r="I58" i="27"/>
  <c r="I281" i="27" s="1"/>
  <c r="I152" i="27"/>
  <c r="I9" i="24"/>
  <c r="J45" i="27"/>
  <c r="J46" i="27" s="1"/>
  <c r="I82" i="27"/>
  <c r="I147" i="24"/>
  <c r="I86" i="27"/>
  <c r="I198" i="24"/>
  <c r="I183" i="27"/>
  <c r="I303" i="27" s="1"/>
  <c r="I84" i="27"/>
  <c r="I169" i="24"/>
  <c r="I279" i="27"/>
  <c r="I85" i="27"/>
  <c r="I180" i="24"/>
  <c r="J75" i="24"/>
  <c r="J52" i="27"/>
  <c r="J8" i="27"/>
  <c r="I118" i="27"/>
  <c r="I130" i="27" s="1"/>
  <c r="I295" i="27" s="1"/>
  <c r="I72" i="27"/>
  <c r="I74" i="27" s="1"/>
  <c r="I284" i="27" s="1"/>
  <c r="I29" i="27"/>
  <c r="I30" i="27" s="1"/>
  <c r="I274" i="27" s="1"/>
  <c r="I92" i="27"/>
  <c r="I93" i="27" s="1"/>
  <c r="I287" i="27" s="1"/>
  <c r="I39" i="27"/>
  <c r="I40" i="27" s="1"/>
  <c r="I276" i="27" s="1"/>
  <c r="I133" i="27"/>
  <c r="I296" i="27" s="1"/>
  <c r="I162" i="27"/>
  <c r="I301" i="27" s="1"/>
  <c r="J254" i="27"/>
  <c r="J74" i="27"/>
  <c r="J188" i="27"/>
  <c r="I214" i="27"/>
  <c r="I309" i="27" s="1"/>
  <c r="I107" i="27"/>
  <c r="I108" i="27" s="1"/>
  <c r="I292" i="27" s="1"/>
  <c r="I247" i="27"/>
  <c r="I314" i="27" s="1"/>
  <c r="I146" i="27"/>
  <c r="I299" i="27" s="1"/>
  <c r="I171" i="27"/>
  <c r="I302" i="27" s="1"/>
  <c r="J46" i="24"/>
  <c r="J157" i="24"/>
  <c r="J198" i="24"/>
  <c r="I42" i="27"/>
  <c r="I43" i="27" s="1"/>
  <c r="I277" i="27" s="1"/>
  <c r="J183" i="27"/>
  <c r="J169" i="24"/>
  <c r="J171" i="27"/>
  <c r="J54" i="24"/>
  <c r="J116" i="27"/>
  <c r="J214" i="27"/>
  <c r="J130" i="27"/>
  <c r="J58" i="27"/>
  <c r="J40" i="27"/>
  <c r="I198" i="27"/>
  <c r="I307" i="27" s="1"/>
  <c r="J133" i="27"/>
  <c r="I65" i="27"/>
  <c r="J11" i="27"/>
  <c r="J80" i="27"/>
  <c r="J86" i="27"/>
  <c r="I64" i="27"/>
  <c r="I78" i="27"/>
  <c r="I70" i="27" l="1"/>
  <c r="I283" i="27" s="1"/>
  <c r="I87" i="27"/>
  <c r="I285" i="27" s="1"/>
  <c r="I200" i="24"/>
  <c r="I322" i="27" s="1"/>
  <c r="J87" i="27"/>
  <c r="G38" i="30"/>
  <c r="G4" i="4"/>
  <c r="G10" i="4"/>
  <c r="G20" i="4"/>
  <c r="G29" i="4"/>
  <c r="G61" i="4"/>
  <c r="G79" i="4"/>
  <c r="I318" i="27" l="1"/>
  <c r="I323" i="27" s="1"/>
  <c r="I324" i="27" s="1"/>
  <c r="J322" i="27"/>
  <c r="G33" i="20"/>
  <c r="H252" i="16"/>
  <c r="K188" i="16" l="1"/>
  <c r="K217" i="16" l="1"/>
  <c r="K152" i="16"/>
  <c r="H193" i="24" l="1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33" i="16"/>
  <c r="K229" i="16"/>
  <c r="K222" i="16"/>
  <c r="K223" i="16"/>
  <c r="K224" i="16"/>
  <c r="K225" i="16"/>
  <c r="K221" i="16"/>
  <c r="K214" i="16"/>
  <c r="J211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192" i="16"/>
  <c r="K166" i="16"/>
  <c r="K167" i="16"/>
  <c r="K168" i="16"/>
  <c r="K169" i="16"/>
  <c r="K170" i="16"/>
  <c r="K171" i="16"/>
  <c r="K172" i="16"/>
  <c r="K173" i="16"/>
  <c r="K165" i="16"/>
  <c r="K33" i="16"/>
  <c r="K37" i="16"/>
  <c r="K38" i="16"/>
  <c r="K39" i="16"/>
  <c r="K40" i="16"/>
  <c r="K41" i="16"/>
  <c r="K42" i="16"/>
  <c r="K36" i="16"/>
  <c r="K92" i="16"/>
  <c r="K93" i="16"/>
  <c r="K94" i="16"/>
  <c r="K95" i="16"/>
  <c r="K91" i="16"/>
  <c r="K100" i="16"/>
  <c r="K101" i="16"/>
  <c r="K102" i="16"/>
  <c r="K103" i="16"/>
  <c r="K104" i="16"/>
  <c r="K105" i="16"/>
  <c r="K106" i="16"/>
  <c r="K107" i="16"/>
  <c r="K108" i="16"/>
  <c r="K99" i="16"/>
  <c r="K157" i="16"/>
  <c r="K158" i="16"/>
  <c r="K159" i="16"/>
  <c r="K160" i="16"/>
  <c r="K161" i="16"/>
  <c r="K156" i="16"/>
  <c r="J149" i="16"/>
  <c r="J133" i="16"/>
  <c r="J134" i="16"/>
  <c r="J135" i="16"/>
  <c r="J136" i="16"/>
  <c r="J137" i="16"/>
  <c r="J138" i="16"/>
  <c r="J139" i="16"/>
  <c r="J140" i="16"/>
  <c r="J141" i="16"/>
  <c r="J142" i="16"/>
  <c r="J143" i="16"/>
  <c r="J132" i="16"/>
  <c r="K118" i="16"/>
  <c r="K120" i="16"/>
  <c r="K121" i="16"/>
  <c r="K122" i="16"/>
  <c r="K123" i="16"/>
  <c r="K124" i="16"/>
  <c r="K117" i="16"/>
  <c r="K88" i="16"/>
  <c r="K85" i="16"/>
  <c r="J79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62" i="16"/>
  <c r="K25" i="16"/>
  <c r="K26" i="16"/>
  <c r="K27" i="16"/>
  <c r="K28" i="16"/>
  <c r="K29" i="16"/>
  <c r="K24" i="16"/>
  <c r="J21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4" i="16"/>
  <c r="G14" i="20" l="1"/>
  <c r="D14" i="20"/>
  <c r="K324" i="2"/>
  <c r="L323" i="2"/>
  <c r="K323" i="2"/>
  <c r="K314" i="2"/>
  <c r="K315" i="2"/>
  <c r="K316" i="2"/>
  <c r="K317" i="2"/>
  <c r="K318" i="2"/>
  <c r="K319" i="2"/>
  <c r="K320" i="2"/>
  <c r="K313" i="2"/>
  <c r="K310" i="2"/>
  <c r="K309" i="2"/>
  <c r="K255" i="2"/>
  <c r="K285" i="2"/>
  <c r="K223" i="2"/>
  <c r="K224" i="2"/>
  <c r="K225" i="2"/>
  <c r="K226" i="2"/>
  <c r="K227" i="2"/>
  <c r="K228" i="2"/>
  <c r="K229" i="2"/>
  <c r="K230" i="2"/>
  <c r="K222" i="2"/>
  <c r="I56" i="15" l="1"/>
  <c r="I60" i="15"/>
  <c r="J60" i="15"/>
  <c r="Q79" i="15" s="1"/>
  <c r="I82" i="15"/>
  <c r="J39" i="6"/>
  <c r="J40" i="6"/>
  <c r="J41" i="6"/>
  <c r="J42" i="6"/>
  <c r="J38" i="6"/>
  <c r="J33" i="6"/>
  <c r="J34" i="6"/>
  <c r="J35" i="6"/>
  <c r="J36" i="6"/>
  <c r="J37" i="6"/>
  <c r="J32" i="6"/>
  <c r="J28" i="6"/>
  <c r="J29" i="6"/>
  <c r="J30" i="6"/>
  <c r="J31" i="6"/>
  <c r="J26" i="6"/>
  <c r="J25" i="6"/>
  <c r="J20" i="6"/>
  <c r="J21" i="6"/>
  <c r="J22" i="6"/>
  <c r="J23" i="6"/>
  <c r="J24" i="6"/>
  <c r="J19" i="6"/>
  <c r="J17" i="6"/>
  <c r="J16" i="6"/>
  <c r="J12" i="6"/>
  <c r="J13" i="6"/>
  <c r="J10" i="6"/>
  <c r="J4" i="6"/>
  <c r="J18" i="6"/>
  <c r="J20" i="15" l="1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4" i="15"/>
  <c r="L59" i="15"/>
  <c r="L58" i="15"/>
  <c r="K154" i="2" l="1"/>
  <c r="K260" i="2"/>
  <c r="K259" i="2"/>
  <c r="K173" i="2"/>
  <c r="K265" i="2"/>
  <c r="K266" i="2"/>
  <c r="K267" i="2"/>
  <c r="K268" i="2"/>
  <c r="K269" i="2"/>
  <c r="K270" i="2"/>
  <c r="K271" i="2"/>
  <c r="K272" i="2"/>
  <c r="K273" i="2"/>
  <c r="K274" i="2"/>
  <c r="K264" i="2"/>
  <c r="K206" i="2"/>
  <c r="K207" i="2"/>
  <c r="K208" i="2"/>
  <c r="K209" i="2"/>
  <c r="K205" i="2"/>
  <c r="K195" i="2"/>
  <c r="K196" i="2"/>
  <c r="K197" i="2"/>
  <c r="K194" i="2"/>
  <c r="K162" i="2"/>
  <c r="K163" i="2"/>
  <c r="K164" i="2"/>
  <c r="K165" i="2"/>
  <c r="K166" i="2"/>
  <c r="K167" i="2"/>
  <c r="K168" i="2"/>
  <c r="K169" i="2"/>
  <c r="K161" i="2"/>
  <c r="K121" i="2"/>
  <c r="K122" i="2"/>
  <c r="K123" i="2"/>
  <c r="K124" i="2"/>
  <c r="K125" i="2"/>
  <c r="K120" i="2"/>
  <c r="K117" i="2"/>
  <c r="K91" i="2"/>
  <c r="K92" i="2"/>
  <c r="K93" i="2"/>
  <c r="K94" i="2"/>
  <c r="K95" i="2"/>
  <c r="K90" i="2"/>
  <c r="K60" i="2"/>
  <c r="K61" i="2"/>
  <c r="K62" i="2"/>
  <c r="K59" i="2"/>
  <c r="K28" i="2"/>
  <c r="K29" i="2"/>
  <c r="K31" i="2"/>
  <c r="K24" i="2"/>
  <c r="K21" i="2"/>
  <c r="K288" i="2"/>
  <c r="K5" i="22"/>
  <c r="J25" i="5"/>
  <c r="J36" i="2"/>
  <c r="J37" i="2"/>
  <c r="J38" i="2"/>
  <c r="J39" i="2"/>
  <c r="J40" i="2"/>
  <c r="J41" i="2"/>
  <c r="J42" i="2"/>
  <c r="J43" i="2"/>
  <c r="J35" i="2"/>
  <c r="I11" i="23" l="1"/>
  <c r="I10" i="23"/>
  <c r="I13" i="23" s="1"/>
  <c r="I8" i="23"/>
  <c r="I7" i="23"/>
  <c r="J9" i="6"/>
  <c r="J44" i="6" s="1"/>
  <c r="G35" i="30" s="1"/>
  <c r="J7" i="6"/>
  <c r="J6" i="6"/>
  <c r="F4" i="6"/>
  <c r="G31" i="20" l="1"/>
  <c r="G36" i="30"/>
  <c r="K73" i="12"/>
  <c r="K74" i="12"/>
  <c r="K71" i="12"/>
  <c r="K72" i="12"/>
  <c r="K70" i="12"/>
  <c r="K36" i="12"/>
  <c r="J36" i="12" s="1"/>
  <c r="I6" i="23" s="1"/>
  <c r="K35" i="12"/>
  <c r="K22" i="2" l="1"/>
  <c r="K23" i="2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40" i="15"/>
  <c r="L30" i="15"/>
  <c r="L29" i="15"/>
  <c r="L26" i="15"/>
  <c r="L23" i="15"/>
  <c r="L63" i="15"/>
  <c r="L64" i="15"/>
  <c r="L65" i="15"/>
  <c r="L75" i="15"/>
  <c r="L76" i="15"/>
  <c r="L77" i="15"/>
  <c r="L78" i="15"/>
  <c r="L79" i="15"/>
  <c r="L74" i="15"/>
  <c r="L68" i="15"/>
  <c r="L69" i="15"/>
  <c r="L70" i="15"/>
  <c r="L71" i="15"/>
  <c r="L72" i="15"/>
  <c r="K24" i="11"/>
  <c r="K25" i="11"/>
  <c r="K26" i="11"/>
  <c r="K27" i="11"/>
  <c r="K28" i="11"/>
  <c r="K29" i="11"/>
  <c r="K30" i="11"/>
  <c r="K31" i="11"/>
  <c r="K32" i="11"/>
  <c r="K33" i="11"/>
  <c r="K34" i="11"/>
  <c r="K23" i="11"/>
  <c r="L23" i="14"/>
  <c r="L24" i="14"/>
  <c r="L25" i="14"/>
  <c r="L26" i="14"/>
  <c r="L27" i="14"/>
  <c r="L28" i="14"/>
  <c r="L29" i="14"/>
  <c r="L30" i="14"/>
  <c r="L22" i="14"/>
  <c r="L18" i="14"/>
  <c r="K23" i="13"/>
  <c r="K24" i="13"/>
  <c r="K25" i="13"/>
  <c r="K26" i="13"/>
  <c r="K27" i="13"/>
  <c r="K22" i="13"/>
  <c r="K64" i="12"/>
  <c r="K65" i="12"/>
  <c r="K66" i="12"/>
  <c r="K67" i="12"/>
  <c r="K63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42" i="12"/>
  <c r="K37" i="12"/>
  <c r="K38" i="12"/>
  <c r="K34" i="12"/>
  <c r="G10" i="20" l="1"/>
  <c r="G9" i="20"/>
  <c r="G8" i="20"/>
  <c r="G7" i="20"/>
  <c r="G13" i="20"/>
  <c r="G12" i="20"/>
  <c r="G6" i="20"/>
  <c r="G5" i="20"/>
  <c r="L73" i="15"/>
  <c r="J26" i="5"/>
  <c r="J27" i="5"/>
  <c r="J28" i="5"/>
  <c r="J29" i="5"/>
  <c r="G26" i="20"/>
  <c r="G25" i="20"/>
  <c r="K7" i="22"/>
  <c r="K4" i="22"/>
  <c r="K6" i="22"/>
  <c r="K3" i="22"/>
  <c r="K4" i="8"/>
  <c r="K3" i="8"/>
  <c r="G68" i="25"/>
  <c r="H68" i="25"/>
  <c r="G67" i="25"/>
  <c r="H67" i="25"/>
  <c r="G66" i="25"/>
  <c r="H66" i="25"/>
  <c r="G65" i="25"/>
  <c r="H65" i="25"/>
  <c r="G64" i="25"/>
  <c r="H64" i="25"/>
  <c r="G63" i="25"/>
  <c r="H63" i="25"/>
  <c r="G61" i="25"/>
  <c r="H61" i="25"/>
  <c r="G60" i="25"/>
  <c r="H60" i="25"/>
  <c r="G59" i="25"/>
  <c r="H59" i="25"/>
  <c r="G57" i="25"/>
  <c r="H57" i="25"/>
  <c r="G56" i="25"/>
  <c r="H56" i="25"/>
  <c r="G53" i="25"/>
  <c r="H53" i="25"/>
  <c r="G52" i="25"/>
  <c r="D52" i="25"/>
  <c r="F52" i="25"/>
  <c r="O25" i="25"/>
  <c r="D7" i="25"/>
  <c r="E7" i="25"/>
  <c r="F7" i="25"/>
  <c r="G7" i="25"/>
  <c r="H7" i="25"/>
  <c r="I7" i="25"/>
  <c r="O7" i="25" s="1"/>
  <c r="J7" i="25"/>
  <c r="O9" i="25"/>
  <c r="O12" i="25"/>
  <c r="O13" i="25"/>
  <c r="O14" i="25"/>
  <c r="O15" i="25"/>
  <c r="O18" i="25"/>
  <c r="O21" i="25"/>
  <c r="O22" i="25"/>
  <c r="O23" i="25"/>
  <c r="O24" i="25"/>
  <c r="O26" i="25"/>
  <c r="O27" i="25"/>
  <c r="O28" i="25"/>
  <c r="O29" i="25"/>
  <c r="O32" i="25"/>
  <c r="O33" i="25"/>
  <c r="O34" i="25"/>
  <c r="O35" i="25"/>
  <c r="O36" i="25"/>
  <c r="O40" i="25"/>
  <c r="O43" i="25"/>
  <c r="O4" i="25"/>
  <c r="O5" i="25"/>
  <c r="O6" i="25"/>
  <c r="K4" i="26"/>
  <c r="K5" i="26"/>
  <c r="K6" i="26"/>
  <c r="K7" i="26"/>
  <c r="K3" i="26"/>
  <c r="I8" i="26"/>
  <c r="H3" i="26"/>
  <c r="K56" i="10"/>
  <c r="I275" i="3"/>
  <c r="I274" i="3"/>
  <c r="I273" i="3"/>
  <c r="I272" i="3"/>
  <c r="I271" i="3"/>
  <c r="I270" i="3"/>
  <c r="I269" i="3"/>
  <c r="I268" i="3"/>
  <c r="I267" i="3"/>
  <c r="I266" i="3"/>
  <c r="I265" i="3"/>
  <c r="I264" i="3"/>
  <c r="K264" i="3" s="1"/>
  <c r="I263" i="3"/>
  <c r="I262" i="3"/>
  <c r="J140" i="2"/>
  <c r="J5" i="13"/>
  <c r="H30" i="6"/>
  <c r="H11" i="24"/>
  <c r="I261" i="3"/>
  <c r="J183" i="2"/>
  <c r="J48" i="2"/>
  <c r="J51" i="2"/>
  <c r="J8" i="2"/>
  <c r="I4" i="5"/>
  <c r="I5" i="5"/>
  <c r="J87" i="2" s="1"/>
  <c r="I6" i="5"/>
  <c r="J114" i="2" s="1"/>
  <c r="I7" i="5"/>
  <c r="I8" i="5"/>
  <c r="I9" i="5"/>
  <c r="J158" i="2" s="1"/>
  <c r="I10" i="5"/>
  <c r="J201" i="2" s="1"/>
  <c r="I11" i="5"/>
  <c r="I12" i="5"/>
  <c r="J252" i="2" s="1"/>
  <c r="I13" i="5"/>
  <c r="I14" i="5"/>
  <c r="I15" i="5"/>
  <c r="I16" i="5"/>
  <c r="I17" i="5"/>
  <c r="I18" i="5"/>
  <c r="I3" i="5"/>
  <c r="J18" i="2" s="1"/>
  <c r="G3" i="5"/>
  <c r="G12" i="5"/>
  <c r="J66" i="10"/>
  <c r="I68" i="10" s="1"/>
  <c r="G5" i="5" l="1"/>
  <c r="I61" i="12"/>
  <c r="J61" i="12"/>
  <c r="I39" i="12"/>
  <c r="J39" i="12"/>
  <c r="I32" i="12"/>
  <c r="J32" i="12"/>
  <c r="I29" i="12"/>
  <c r="J29" i="12"/>
  <c r="I68" i="12"/>
  <c r="I75" i="12"/>
  <c r="J75" i="12"/>
  <c r="I5" i="8"/>
  <c r="J5" i="8"/>
  <c r="I9" i="22"/>
  <c r="J9" i="22"/>
  <c r="G32" i="20" s="1"/>
  <c r="J287" i="27"/>
  <c r="J286" i="27"/>
  <c r="J284" i="27"/>
  <c r="J282" i="27"/>
  <c r="J281" i="27"/>
  <c r="J277" i="27"/>
  <c r="J276" i="27"/>
  <c r="J273" i="27"/>
  <c r="J271" i="27"/>
  <c r="J269" i="27"/>
  <c r="J268" i="27"/>
  <c r="J267" i="27"/>
  <c r="I19" i="5"/>
  <c r="I277" i="3"/>
  <c r="I252" i="3"/>
  <c r="I236" i="3"/>
  <c r="I222" i="3"/>
  <c r="I206" i="3"/>
  <c r="I192" i="3"/>
  <c r="I176" i="3"/>
  <c r="I147" i="3"/>
  <c r="I160" i="3"/>
  <c r="I137" i="3"/>
  <c r="I121" i="3"/>
  <c r="I108" i="3"/>
  <c r="I93" i="3"/>
  <c r="I81" i="3"/>
  <c r="I71" i="3"/>
  <c r="I57" i="3"/>
  <c r="I45" i="3"/>
  <c r="I34" i="3"/>
  <c r="I29" i="3"/>
  <c r="I14" i="3"/>
  <c r="J8" i="26"/>
  <c r="G11" i="20" s="1"/>
  <c r="J4" i="23"/>
  <c r="I44" i="25"/>
  <c r="O44" i="25" s="1"/>
  <c r="J44" i="25"/>
  <c r="I41" i="25"/>
  <c r="J41" i="25"/>
  <c r="H69" i="25" s="1"/>
  <c r="O38" i="25"/>
  <c r="I30" i="25"/>
  <c r="O30" i="25" s="1"/>
  <c r="J30" i="25"/>
  <c r="I19" i="25"/>
  <c r="J19" i="25"/>
  <c r="H58" i="25" s="1"/>
  <c r="I16" i="25"/>
  <c r="O16" i="25" s="1"/>
  <c r="J16" i="25"/>
  <c r="I10" i="25"/>
  <c r="J10" i="25"/>
  <c r="G100" i="4"/>
  <c r="H14" i="6"/>
  <c r="I44" i="6"/>
  <c r="I266" i="16"/>
  <c r="J266" i="16"/>
  <c r="P264" i="16" s="1"/>
  <c r="I249" i="16"/>
  <c r="I230" i="16"/>
  <c r="J230" i="16"/>
  <c r="I226" i="16"/>
  <c r="J226" i="16"/>
  <c r="I218" i="16"/>
  <c r="I215" i="16"/>
  <c r="J215" i="16"/>
  <c r="I212" i="16"/>
  <c r="J212" i="16"/>
  <c r="I209" i="16"/>
  <c r="J209" i="16"/>
  <c r="I206" i="16"/>
  <c r="J206" i="16"/>
  <c r="I189" i="16"/>
  <c r="J189" i="16"/>
  <c r="I180" i="16"/>
  <c r="J180" i="16"/>
  <c r="I174" i="16"/>
  <c r="I162" i="16"/>
  <c r="I153" i="16"/>
  <c r="J153" i="16"/>
  <c r="I150" i="16"/>
  <c r="J150" i="16"/>
  <c r="I147" i="16"/>
  <c r="J147" i="16"/>
  <c r="I144" i="16"/>
  <c r="J144" i="16"/>
  <c r="I115" i="16"/>
  <c r="J115" i="16"/>
  <c r="I109" i="16"/>
  <c r="J109" i="16"/>
  <c r="I96" i="16"/>
  <c r="J96" i="16"/>
  <c r="I89" i="16"/>
  <c r="J89" i="16"/>
  <c r="I86" i="16"/>
  <c r="J86" i="16"/>
  <c r="I83" i="16"/>
  <c r="J83" i="16"/>
  <c r="I80" i="16"/>
  <c r="J80" i="16"/>
  <c r="I76" i="16"/>
  <c r="J76" i="16"/>
  <c r="P125" i="16" s="1"/>
  <c r="P127" i="16" s="1"/>
  <c r="I59" i="16"/>
  <c r="J59" i="16"/>
  <c r="P58" i="16" s="1"/>
  <c r="I34" i="16"/>
  <c r="J34" i="16"/>
  <c r="I30" i="16"/>
  <c r="J30" i="16"/>
  <c r="I22" i="16"/>
  <c r="J22" i="16"/>
  <c r="I18" i="16"/>
  <c r="J18" i="16"/>
  <c r="I45" i="16"/>
  <c r="K79" i="15"/>
  <c r="I37" i="15"/>
  <c r="J37" i="15"/>
  <c r="I34" i="15"/>
  <c r="J34" i="15"/>
  <c r="I31" i="15"/>
  <c r="J31" i="15"/>
  <c r="I27" i="15"/>
  <c r="J27" i="15"/>
  <c r="I24" i="15"/>
  <c r="J24" i="15"/>
  <c r="I21" i="15"/>
  <c r="J21" i="15"/>
  <c r="I18" i="15"/>
  <c r="J18" i="15"/>
  <c r="J16" i="14"/>
  <c r="J35" i="14"/>
  <c r="Q34" i="14" s="1"/>
  <c r="K7" i="18" s="1"/>
  <c r="J13" i="14"/>
  <c r="K8" i="14"/>
  <c r="I35" i="14"/>
  <c r="K35" i="14"/>
  <c r="I31" i="14"/>
  <c r="I19" i="14"/>
  <c r="I16" i="14"/>
  <c r="I13" i="14"/>
  <c r="I33" i="13"/>
  <c r="J33" i="13"/>
  <c r="P32" i="13" s="1"/>
  <c r="I28" i="13"/>
  <c r="I19" i="13"/>
  <c r="J19" i="13"/>
  <c r="I15" i="13"/>
  <c r="J15" i="13"/>
  <c r="P31" i="13" s="1"/>
  <c r="H48" i="11"/>
  <c r="I40" i="11"/>
  <c r="J40" i="11"/>
  <c r="P39" i="11" s="1"/>
  <c r="K9" i="18" s="1"/>
  <c r="I35" i="11"/>
  <c r="I20" i="11"/>
  <c r="J20" i="11"/>
  <c r="I325" i="2"/>
  <c r="J325" i="2"/>
  <c r="P324" i="2" s="1"/>
  <c r="I321" i="2"/>
  <c r="I311" i="2"/>
  <c r="J311" i="2"/>
  <c r="I307" i="2"/>
  <c r="J307" i="2"/>
  <c r="I304" i="2"/>
  <c r="J304" i="2"/>
  <c r="P323" i="2" s="1"/>
  <c r="I289" i="2"/>
  <c r="I275" i="2"/>
  <c r="I261" i="2"/>
  <c r="J261" i="2"/>
  <c r="I256" i="2"/>
  <c r="J256" i="2"/>
  <c r="I253" i="2"/>
  <c r="J253" i="2"/>
  <c r="I249" i="2"/>
  <c r="I245" i="2"/>
  <c r="I231" i="2"/>
  <c r="J231" i="2"/>
  <c r="P229" i="2" s="1"/>
  <c r="K21" i="18" s="1"/>
  <c r="I210" i="2"/>
  <c r="J210" i="2"/>
  <c r="I202" i="2"/>
  <c r="J202" i="2"/>
  <c r="I198" i="2"/>
  <c r="J198" i="2"/>
  <c r="I192" i="2"/>
  <c r="I175" i="2"/>
  <c r="I170" i="2"/>
  <c r="J170" i="2"/>
  <c r="I159" i="2"/>
  <c r="J159" i="2"/>
  <c r="I155" i="2"/>
  <c r="J155" i="2"/>
  <c r="I151" i="2"/>
  <c r="I136" i="2"/>
  <c r="I131" i="2"/>
  <c r="J131" i="2"/>
  <c r="I126" i="2"/>
  <c r="I118" i="2"/>
  <c r="I115" i="2"/>
  <c r="J115" i="2"/>
  <c r="I111" i="2"/>
  <c r="I100" i="2"/>
  <c r="I96" i="2"/>
  <c r="J96" i="2"/>
  <c r="I88" i="2"/>
  <c r="J88" i="2"/>
  <c r="I85" i="2"/>
  <c r="I69" i="2"/>
  <c r="I66" i="2"/>
  <c r="J66" i="2"/>
  <c r="I63" i="2"/>
  <c r="J63" i="2"/>
  <c r="I57" i="2"/>
  <c r="I44" i="2"/>
  <c r="J44" i="2"/>
  <c r="I32" i="2"/>
  <c r="I25" i="2"/>
  <c r="J25" i="2"/>
  <c r="J19" i="2"/>
  <c r="I15" i="2"/>
  <c r="K10" i="18"/>
  <c r="E10" i="20"/>
  <c r="D12" i="20"/>
  <c r="E12" i="20"/>
  <c r="D13" i="20"/>
  <c r="E13" i="20"/>
  <c r="E14" i="20"/>
  <c r="F5" i="20"/>
  <c r="K13" i="18" l="1"/>
  <c r="P72" i="12"/>
  <c r="I256" i="3"/>
  <c r="J47" i="25"/>
  <c r="P187" i="16"/>
  <c r="K32" i="18" s="1"/>
  <c r="K29" i="18"/>
  <c r="P38" i="11"/>
  <c r="J9" i="18" s="1"/>
  <c r="L9" i="18" s="1"/>
  <c r="P186" i="16"/>
  <c r="J32" i="18" s="1"/>
  <c r="K31" i="18"/>
  <c r="P57" i="16"/>
  <c r="J279" i="27"/>
  <c r="J318" i="27" s="1"/>
  <c r="K30" i="18"/>
  <c r="P33" i="13"/>
  <c r="H40" i="13" s="1"/>
  <c r="J8" i="18"/>
  <c r="H55" i="25"/>
  <c r="H72" i="25" s="1"/>
  <c r="G21" i="30" s="1"/>
  <c r="G23" i="30" s="1"/>
  <c r="O19" i="25"/>
  <c r="G58" i="25"/>
  <c r="O41" i="25"/>
  <c r="G69" i="25"/>
  <c r="I280" i="3"/>
  <c r="O10" i="25"/>
  <c r="G55" i="25"/>
  <c r="P71" i="12"/>
  <c r="I47" i="25"/>
  <c r="G90" i="4"/>
  <c r="G261" i="3"/>
  <c r="G16" i="20" l="1"/>
  <c r="L32" i="18"/>
  <c r="P40" i="11"/>
  <c r="G48" i="11" s="1"/>
  <c r="P188" i="16"/>
  <c r="H276" i="16" s="1"/>
  <c r="K33" i="18"/>
  <c r="J23" i="18"/>
  <c r="L23" i="18" s="1"/>
  <c r="P325" i="2"/>
  <c r="H341" i="2" s="1"/>
  <c r="J31" i="18"/>
  <c r="L31" i="18" s="1"/>
  <c r="H275" i="16"/>
  <c r="L8" i="18"/>
  <c r="J14" i="18"/>
  <c r="J13" i="18"/>
  <c r="P73" i="12"/>
  <c r="G72" i="25"/>
  <c r="J29" i="18"/>
  <c r="P59" i="16"/>
  <c r="H274" i="16" s="1"/>
  <c r="G40" i="13"/>
  <c r="J323" i="27" l="1"/>
  <c r="G83" i="12"/>
  <c r="H83" i="12"/>
  <c r="J15" i="18"/>
  <c r="L13" i="18"/>
  <c r="G274" i="16"/>
  <c r="G278" i="16" s="1"/>
  <c r="L29" i="18"/>
  <c r="H304" i="2"/>
  <c r="H275" i="2"/>
  <c r="H210" i="2"/>
  <c r="H192" i="2"/>
  <c r="H170" i="2"/>
  <c r="H151" i="2"/>
  <c r="H126" i="2"/>
  <c r="H96" i="2"/>
  <c r="H63" i="2"/>
  <c r="H57" i="2"/>
  <c r="H25" i="2"/>
  <c r="H15" i="2"/>
  <c r="H94" i="16"/>
  <c r="H91" i="16"/>
  <c r="J324" i="27" l="1"/>
  <c r="F23" i="4"/>
  <c r="H17" i="11" l="1"/>
  <c r="H65" i="15"/>
  <c r="H18" i="16"/>
  <c r="G29" i="3"/>
  <c r="H254" i="16"/>
  <c r="H257" i="16" s="1"/>
  <c r="H179" i="16"/>
  <c r="H178" i="16"/>
  <c r="H176" i="16"/>
  <c r="H112" i="16"/>
  <c r="H111" i="16"/>
  <c r="H50" i="16"/>
  <c r="H47" i="16"/>
  <c r="H58" i="15"/>
  <c r="H59" i="15"/>
  <c r="H279" i="2"/>
  <c r="H278" i="2"/>
  <c r="H277" i="2"/>
  <c r="H214" i="2"/>
  <c r="H213" i="2"/>
  <c r="H212" i="2"/>
  <c r="H129" i="2"/>
  <c r="H130" i="2"/>
  <c r="K101" i="27"/>
  <c r="H282" i="2" l="1"/>
  <c r="H219" i="2"/>
  <c r="H54" i="16"/>
  <c r="H131" i="2"/>
  <c r="D261" i="3"/>
  <c r="D277" i="3" s="1"/>
  <c r="E261" i="3"/>
  <c r="D262" i="3"/>
  <c r="E262" i="3"/>
  <c r="D263" i="3"/>
  <c r="E263" i="3"/>
  <c r="D264" i="3"/>
  <c r="E264" i="3"/>
  <c r="D265" i="3"/>
  <c r="E265" i="3"/>
  <c r="D266" i="3"/>
  <c r="E266" i="3"/>
  <c r="D267" i="3"/>
  <c r="E267" i="3"/>
  <c r="D268" i="3"/>
  <c r="E268" i="3"/>
  <c r="D269" i="3"/>
  <c r="E269" i="3"/>
  <c r="D270" i="3"/>
  <c r="E270" i="3"/>
  <c r="D271" i="3"/>
  <c r="E271" i="3"/>
  <c r="D272" i="3"/>
  <c r="E272" i="3"/>
  <c r="D273" i="3"/>
  <c r="E273" i="3"/>
  <c r="D274" i="3"/>
  <c r="E274" i="3"/>
  <c r="D275" i="3"/>
  <c r="E275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7" i="3" l="1"/>
  <c r="E277" i="3"/>
  <c r="K98" i="24"/>
  <c r="H167" i="27"/>
  <c r="H171" i="27" s="1"/>
  <c r="H302" i="27" s="1"/>
  <c r="H318" i="27" s="1"/>
  <c r="H323" i="27" s="1"/>
  <c r="K102" i="24"/>
  <c r="H183" i="24" l="1"/>
  <c r="H184" i="24"/>
  <c r="H185" i="24"/>
  <c r="H186" i="24"/>
  <c r="H187" i="24"/>
  <c r="H188" i="24"/>
  <c r="H189" i="24"/>
  <c r="H190" i="24"/>
  <c r="H191" i="24"/>
  <c r="H192" i="24"/>
  <c r="H194" i="24"/>
  <c r="H195" i="24"/>
  <c r="H196" i="24"/>
  <c r="H197" i="24"/>
  <c r="H182" i="24"/>
  <c r="H172" i="24"/>
  <c r="H173" i="24"/>
  <c r="H174" i="24"/>
  <c r="H175" i="24"/>
  <c r="H176" i="24"/>
  <c r="H177" i="24"/>
  <c r="H178" i="24"/>
  <c r="H179" i="24"/>
  <c r="H171" i="24"/>
  <c r="H160" i="24"/>
  <c r="H161" i="24"/>
  <c r="H162" i="24"/>
  <c r="H163" i="24"/>
  <c r="H164" i="24"/>
  <c r="H165" i="24"/>
  <c r="H166" i="24"/>
  <c r="H167" i="24"/>
  <c r="H168" i="24"/>
  <c r="H159" i="24"/>
  <c r="H150" i="24"/>
  <c r="H151" i="24"/>
  <c r="H152" i="24"/>
  <c r="H153" i="24"/>
  <c r="H154" i="24"/>
  <c r="H155" i="24"/>
  <c r="H156" i="24"/>
  <c r="H149" i="24"/>
  <c r="H141" i="24"/>
  <c r="H142" i="24"/>
  <c r="H143" i="24"/>
  <c r="H144" i="24"/>
  <c r="H145" i="24"/>
  <c r="H146" i="24"/>
  <c r="H13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19" i="24"/>
  <c r="H107" i="24"/>
  <c r="H108" i="24"/>
  <c r="H109" i="24"/>
  <c r="H110" i="24"/>
  <c r="H111" i="24"/>
  <c r="H112" i="24"/>
  <c r="H113" i="24"/>
  <c r="H114" i="24"/>
  <c r="H115" i="24"/>
  <c r="H116" i="24"/>
  <c r="H106" i="24"/>
  <c r="H96" i="24"/>
  <c r="H97" i="24"/>
  <c r="H98" i="24"/>
  <c r="H99" i="24"/>
  <c r="H100" i="24"/>
  <c r="H101" i="24"/>
  <c r="H102" i="24"/>
  <c r="H95" i="24"/>
  <c r="H89" i="24"/>
  <c r="H90" i="24"/>
  <c r="H91" i="24"/>
  <c r="H92" i="24"/>
  <c r="H88" i="24"/>
  <c r="H78" i="24"/>
  <c r="H79" i="24"/>
  <c r="H80" i="24"/>
  <c r="H81" i="24"/>
  <c r="H82" i="24"/>
  <c r="H83" i="24"/>
  <c r="H84" i="24"/>
  <c r="H85" i="24"/>
  <c r="H77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56" i="24"/>
  <c r="H48" i="24"/>
  <c r="H49" i="24"/>
  <c r="H50" i="24"/>
  <c r="H51" i="24"/>
  <c r="H52" i="24"/>
  <c r="H53" i="24"/>
  <c r="H41" i="24"/>
  <c r="H42" i="24"/>
  <c r="H43" i="24"/>
  <c r="H44" i="24"/>
  <c r="H45" i="24"/>
  <c r="H40" i="24"/>
  <c r="H33" i="24"/>
  <c r="H34" i="24"/>
  <c r="H35" i="24"/>
  <c r="H32" i="24"/>
  <c r="H12" i="24"/>
  <c r="H13" i="24"/>
  <c r="H14" i="24"/>
  <c r="H15" i="24"/>
  <c r="H16" i="24"/>
  <c r="H17" i="24"/>
  <c r="H18" i="24"/>
  <c r="H19" i="24"/>
  <c r="H20" i="24"/>
  <c r="H21" i="24"/>
  <c r="H6" i="24"/>
  <c r="H7" i="24"/>
  <c r="H8" i="24"/>
  <c r="H5" i="24"/>
  <c r="H217" i="16"/>
  <c r="J218" i="16" s="1"/>
  <c r="P263" i="16" s="1"/>
  <c r="P265" i="16" s="1"/>
  <c r="H152" i="16"/>
  <c r="H88" i="16"/>
  <c r="H26" i="15"/>
  <c r="H255" i="2"/>
  <c r="D26" i="20"/>
  <c r="D25" i="20"/>
  <c r="H35" i="11"/>
  <c r="H225" i="16"/>
  <c r="H160" i="16"/>
  <c r="H159" i="16"/>
  <c r="H92" i="16"/>
  <c r="H310" i="2"/>
  <c r="H26" i="16"/>
  <c r="H25" i="16"/>
  <c r="H260" i="2"/>
  <c r="H259" i="2"/>
  <c r="H195" i="2"/>
  <c r="H67" i="12"/>
  <c r="H66" i="12"/>
  <c r="H65" i="12"/>
  <c r="H75" i="24" l="1"/>
  <c r="H137" i="24"/>
  <c r="H147" i="24"/>
  <c r="H198" i="24"/>
  <c r="H157" i="24"/>
  <c r="H169" i="24"/>
  <c r="H180" i="24"/>
  <c r="H22" i="24"/>
  <c r="H54" i="24"/>
  <c r="H104" i="24"/>
  <c r="H86" i="24"/>
  <c r="H117" i="24"/>
  <c r="H9" i="24"/>
  <c r="H38" i="24"/>
  <c r="H46" i="24"/>
  <c r="H93" i="24"/>
  <c r="H277" i="16"/>
  <c r="H278" i="16" s="1"/>
  <c r="J30" i="18"/>
  <c r="H39" i="6"/>
  <c r="H222" i="16" s="1"/>
  <c r="H6" i="6"/>
  <c r="H64" i="12" s="1"/>
  <c r="H197" i="2"/>
  <c r="H22" i="6"/>
  <c r="H23" i="6"/>
  <c r="H24" i="6"/>
  <c r="H29" i="16" s="1"/>
  <c r="H25" i="6"/>
  <c r="H309" i="2" s="1"/>
  <c r="H29" i="6"/>
  <c r="H93" i="16" s="1"/>
  <c r="H31" i="6"/>
  <c r="H95" i="16" s="1"/>
  <c r="H33" i="6"/>
  <c r="H157" i="16" s="1"/>
  <c r="H34" i="6"/>
  <c r="H158" i="16" s="1"/>
  <c r="H38" i="6"/>
  <c r="H221" i="16" s="1"/>
  <c r="H40" i="6"/>
  <c r="H223" i="16" s="1"/>
  <c r="H41" i="6"/>
  <c r="H224" i="16" s="1"/>
  <c r="H227" i="2"/>
  <c r="H173" i="2"/>
  <c r="H74" i="12"/>
  <c r="H72" i="12"/>
  <c r="H71" i="12"/>
  <c r="H57" i="16"/>
  <c r="H264" i="16"/>
  <c r="H188" i="16"/>
  <c r="H127" i="16"/>
  <c r="H123" i="16"/>
  <c r="H121" i="16"/>
  <c r="H120" i="16"/>
  <c r="H118" i="16"/>
  <c r="H75" i="15"/>
  <c r="H80" i="15"/>
  <c r="H79" i="15"/>
  <c r="H78" i="15"/>
  <c r="H77" i="15"/>
  <c r="H64" i="15"/>
  <c r="H230" i="2"/>
  <c r="H229" i="2"/>
  <c r="H225" i="2"/>
  <c r="H224" i="2"/>
  <c r="H70" i="12"/>
  <c r="H29" i="2"/>
  <c r="H28" i="2"/>
  <c r="H27" i="15"/>
  <c r="G27" i="15"/>
  <c r="H229" i="16"/>
  <c r="H33" i="16"/>
  <c r="H30" i="15"/>
  <c r="H29" i="15"/>
  <c r="H38" i="12"/>
  <c r="H37" i="12"/>
  <c r="H36" i="12"/>
  <c r="H35" i="12"/>
  <c r="H34" i="12"/>
  <c r="H214" i="16"/>
  <c r="H215" i="16" s="1"/>
  <c r="H85" i="16"/>
  <c r="H248" i="2"/>
  <c r="H36" i="15"/>
  <c r="H82" i="16"/>
  <c r="H146" i="16"/>
  <c r="H208" i="16"/>
  <c r="H211" i="16"/>
  <c r="H149" i="16"/>
  <c r="H79" i="16"/>
  <c r="H21" i="16"/>
  <c r="H20" i="15"/>
  <c r="H15" i="14"/>
  <c r="H18" i="13"/>
  <c r="H31" i="12"/>
  <c r="H19" i="11"/>
  <c r="H306" i="2"/>
  <c r="H252" i="2"/>
  <c r="H201" i="2"/>
  <c r="H158" i="2"/>
  <c r="H114" i="2"/>
  <c r="H87" i="2"/>
  <c r="H18" i="2"/>
  <c r="I18" i="2" s="1"/>
  <c r="I19" i="2" s="1"/>
  <c r="H44" i="2"/>
  <c r="H200" i="24" l="1"/>
  <c r="L30" i="18"/>
  <c r="L33" i="18" s="1"/>
  <c r="J33" i="18"/>
  <c r="H27" i="16"/>
  <c r="H28" i="16"/>
  <c r="D38" i="30" l="1"/>
  <c r="H322" i="27"/>
  <c r="F100" i="4"/>
  <c r="F4" i="4"/>
  <c r="F10" i="4"/>
  <c r="F20" i="4"/>
  <c r="F29" i="4"/>
  <c r="F47" i="4"/>
  <c r="F61" i="4"/>
  <c r="F72" i="4"/>
  <c r="F79" i="4"/>
  <c r="F66" i="25"/>
  <c r="F90" i="4" l="1"/>
  <c r="H30" i="5" l="1"/>
  <c r="D28" i="20" s="1"/>
  <c r="H44" i="25" l="1"/>
  <c r="H16" i="25"/>
  <c r="F53" i="25"/>
  <c r="F57" i="25"/>
  <c r="F59" i="25"/>
  <c r="F60" i="25"/>
  <c r="F61" i="25"/>
  <c r="F63" i="25"/>
  <c r="F64" i="25"/>
  <c r="F65" i="25"/>
  <c r="F67" i="25"/>
  <c r="F68" i="25"/>
  <c r="H10" i="25"/>
  <c r="F55" i="25" s="1"/>
  <c r="H30" i="25"/>
  <c r="H41" i="25"/>
  <c r="F69" i="25" s="1"/>
  <c r="H58" i="10"/>
  <c r="I58" i="10" s="1"/>
  <c r="K58" i="10" s="1"/>
  <c r="H60" i="10"/>
  <c r="I60" i="10" s="1"/>
  <c r="K60" i="10" s="1"/>
  <c r="H53" i="10"/>
  <c r="I53" i="10" s="1"/>
  <c r="K53" i="10" s="1"/>
  <c r="H12" i="10"/>
  <c r="H14" i="10"/>
  <c r="H16" i="10"/>
  <c r="H19" i="10"/>
  <c r="I19" i="10" s="1"/>
  <c r="H23" i="10"/>
  <c r="H24" i="10"/>
  <c r="H25" i="10"/>
  <c r="H26" i="10"/>
  <c r="H28" i="10"/>
  <c r="I28" i="10" s="1"/>
  <c r="H29" i="10"/>
  <c r="H30" i="10"/>
  <c r="H32" i="10"/>
  <c r="H62" i="10" s="1"/>
  <c r="H33" i="10"/>
  <c r="H37" i="10"/>
  <c r="H38" i="10"/>
  <c r="H261" i="16" l="1"/>
  <c r="I37" i="10"/>
  <c r="H183" i="16"/>
  <c r="K62" i="10"/>
  <c r="H119" i="16"/>
  <c r="I29" i="10"/>
  <c r="H56" i="16"/>
  <c r="I26" i="10"/>
  <c r="H71" i="15"/>
  <c r="I24" i="10"/>
  <c r="J71" i="15" s="1"/>
  <c r="H285" i="2"/>
  <c r="H226" i="2"/>
  <c r="I14" i="10"/>
  <c r="H262" i="16"/>
  <c r="H184" i="16"/>
  <c r="I33" i="10"/>
  <c r="H122" i="16"/>
  <c r="I30" i="10"/>
  <c r="H72" i="15"/>
  <c r="I25" i="10"/>
  <c r="J72" i="15" s="1"/>
  <c r="H70" i="15"/>
  <c r="I23" i="10"/>
  <c r="J70" i="15" s="1"/>
  <c r="H222" i="2"/>
  <c r="H73" i="12"/>
  <c r="I12" i="10"/>
  <c r="F56" i="25"/>
  <c r="C23" i="20"/>
  <c r="H287" i="2"/>
  <c r="D10" i="20" s="1"/>
  <c r="H187" i="16"/>
  <c r="D9" i="20" s="1"/>
  <c r="H265" i="16"/>
  <c r="D8" i="20" s="1"/>
  <c r="H126" i="16"/>
  <c r="H125" i="16"/>
  <c r="H66" i="15"/>
  <c r="D5" i="20" s="1"/>
  <c r="D7" i="20" l="1"/>
  <c r="H88" i="2"/>
  <c r="E278" i="16"/>
  <c r="E342" i="2"/>
  <c r="H29" i="12"/>
  <c r="H325" i="2"/>
  <c r="O324" i="2" s="1"/>
  <c r="G23" i="18" s="1"/>
  <c r="H321" i="2"/>
  <c r="H311" i="2"/>
  <c r="H307" i="2"/>
  <c r="H261" i="2"/>
  <c r="H256" i="2"/>
  <c r="H253" i="2"/>
  <c r="H249" i="2"/>
  <c r="H245" i="2"/>
  <c r="H202" i="2"/>
  <c r="H159" i="2"/>
  <c r="H115" i="2"/>
  <c r="H111" i="2"/>
  <c r="H85" i="2"/>
  <c r="H66" i="2"/>
  <c r="H19" i="2"/>
  <c r="L19" i="11"/>
  <c r="H20" i="11"/>
  <c r="O38" i="11" s="1"/>
  <c r="F9" i="18" s="1"/>
  <c r="H75" i="12"/>
  <c r="O72" i="12" s="1"/>
  <c r="G13" i="18" s="1"/>
  <c r="H61" i="12"/>
  <c r="D39" i="12"/>
  <c r="E39" i="12"/>
  <c r="G39" i="12"/>
  <c r="H39" i="12"/>
  <c r="O97" i="2" l="1"/>
  <c r="F24" i="18" s="1"/>
  <c r="O27" i="2"/>
  <c r="F19" i="18" s="1"/>
  <c r="F23" i="18"/>
  <c r="H23" i="18" s="1"/>
  <c r="F20" i="18"/>
  <c r="O68" i="2"/>
  <c r="F25" i="18" s="1"/>
  <c r="C5" i="20"/>
  <c r="O325" i="2" l="1"/>
  <c r="F341" i="2" s="1"/>
  <c r="H34" i="3"/>
  <c r="H45" i="3"/>
  <c r="G222" i="3"/>
  <c r="H5" i="8"/>
  <c r="H9" i="22"/>
  <c r="D32" i="20" s="1"/>
  <c r="D9" i="22"/>
  <c r="E9" i="22"/>
  <c r="H13" i="23"/>
  <c r="D31" i="20" s="1"/>
  <c r="D13" i="23"/>
  <c r="F13" i="23"/>
  <c r="J6" i="23"/>
  <c r="H8" i="26"/>
  <c r="D11" i="20" s="1"/>
  <c r="K11" i="24"/>
  <c r="D53" i="25"/>
  <c r="E52" i="25"/>
  <c r="E53" i="25"/>
  <c r="E56" i="25"/>
  <c r="E57" i="25"/>
  <c r="E58" i="25"/>
  <c r="E59" i="25"/>
  <c r="E60" i="25"/>
  <c r="E61" i="25"/>
  <c r="E63" i="25"/>
  <c r="E64" i="25"/>
  <c r="E65" i="25"/>
  <c r="E66" i="25"/>
  <c r="E67" i="25"/>
  <c r="E68" i="25"/>
  <c r="G249" i="16" l="1"/>
  <c r="H249" i="16"/>
  <c r="H230" i="16"/>
  <c r="H226" i="16"/>
  <c r="H218" i="16"/>
  <c r="H212" i="16"/>
  <c r="H209" i="16"/>
  <c r="H206" i="16"/>
  <c r="G189" i="16"/>
  <c r="H180" i="16"/>
  <c r="H174" i="16"/>
  <c r="G162" i="16"/>
  <c r="H162" i="16"/>
  <c r="H153" i="16"/>
  <c r="H150" i="16"/>
  <c r="H147" i="16"/>
  <c r="H144" i="16"/>
  <c r="H115" i="16"/>
  <c r="H109" i="16"/>
  <c r="H96" i="16"/>
  <c r="H89" i="16"/>
  <c r="H86" i="16"/>
  <c r="H83" i="16"/>
  <c r="H80" i="16"/>
  <c r="H76" i="16"/>
  <c r="H45" i="16"/>
  <c r="H34" i="16"/>
  <c r="H22" i="16"/>
  <c r="L149" i="16"/>
  <c r="L79" i="16"/>
  <c r="H60" i="15"/>
  <c r="H56" i="15"/>
  <c r="H37" i="15"/>
  <c r="H34" i="15"/>
  <c r="D29" i="20" s="1"/>
  <c r="H31" i="15"/>
  <c r="H21" i="15"/>
  <c r="H18" i="15"/>
  <c r="H31" i="14"/>
  <c r="H16" i="14"/>
  <c r="H13" i="14"/>
  <c r="H28" i="13"/>
  <c r="H19" i="13"/>
  <c r="H15" i="13"/>
  <c r="H32" i="12"/>
  <c r="D20" i="11"/>
  <c r="L4" i="2"/>
  <c r="F4" i="2" s="1"/>
  <c r="L5" i="2"/>
  <c r="L6" i="2"/>
  <c r="L7" i="2"/>
  <c r="L8" i="2"/>
  <c r="L9" i="2"/>
  <c r="L10" i="2"/>
  <c r="L11" i="2"/>
  <c r="L12" i="2"/>
  <c r="L13" i="2"/>
  <c r="L14" i="2"/>
  <c r="E15" i="2"/>
  <c r="E32" i="2"/>
  <c r="E44" i="2"/>
  <c r="E57" i="2"/>
  <c r="E63" i="2"/>
  <c r="E66" i="2"/>
  <c r="E69" i="2"/>
  <c r="E85" i="2"/>
  <c r="E96" i="2"/>
  <c r="E100" i="2"/>
  <c r="E111" i="2"/>
  <c r="E118" i="2"/>
  <c r="E126" i="2"/>
  <c r="E131" i="2"/>
  <c r="E136" i="2"/>
  <c r="E151" i="2"/>
  <c r="E155" i="2"/>
  <c r="E170" i="2"/>
  <c r="E175" i="2"/>
  <c r="E192" i="2"/>
  <c r="E198" i="2"/>
  <c r="E210" i="2"/>
  <c r="E231" i="2"/>
  <c r="E245" i="2"/>
  <c r="E261" i="2"/>
  <c r="E275" i="2" s="1"/>
  <c r="E289" i="2"/>
  <c r="E304" i="2"/>
  <c r="E311" i="2"/>
  <c r="E321" i="2"/>
  <c r="E325" i="2"/>
  <c r="D33" i="20" l="1"/>
  <c r="H324" i="27"/>
  <c r="O31" i="13"/>
  <c r="F8" i="18" s="1"/>
  <c r="O263" i="16"/>
  <c r="O186" i="16"/>
  <c r="F32" i="18" s="1"/>
  <c r="O125" i="16"/>
  <c r="F31" i="18" s="1"/>
  <c r="G252" i="3"/>
  <c r="G236" i="3"/>
  <c r="G206" i="3"/>
  <c r="G192" i="3"/>
  <c r="G176" i="3"/>
  <c r="G160" i="3"/>
  <c r="G147" i="3"/>
  <c r="G137" i="3"/>
  <c r="G121" i="3"/>
  <c r="G108" i="3"/>
  <c r="G93" i="3"/>
  <c r="G81" i="3"/>
  <c r="G71" i="3"/>
  <c r="F30" i="18" l="1"/>
  <c r="G57" i="3"/>
  <c r="G45" i="3"/>
  <c r="G34" i="3"/>
  <c r="G14" i="3"/>
  <c r="G5" i="8"/>
  <c r="G9" i="22"/>
  <c r="G13" i="23"/>
  <c r="G256" i="3" l="1"/>
  <c r="G280" i="3" s="1"/>
  <c r="G44" i="6"/>
  <c r="G8" i="26"/>
  <c r="G44" i="25" l="1"/>
  <c r="G41" i="25"/>
  <c r="G30" i="25"/>
  <c r="G19" i="25"/>
  <c r="G16" i="25"/>
  <c r="G10" i="25"/>
  <c r="G37" i="15"/>
  <c r="F37" i="15"/>
  <c r="G266" i="16"/>
  <c r="G230" i="16"/>
  <c r="G226" i="16"/>
  <c r="G218" i="16"/>
  <c r="G215" i="16"/>
  <c r="G212" i="16"/>
  <c r="G209" i="16"/>
  <c r="G206" i="16"/>
  <c r="G180" i="16"/>
  <c r="G174" i="16"/>
  <c r="G153" i="16"/>
  <c r="G150" i="16"/>
  <c r="G147" i="16"/>
  <c r="G144" i="16"/>
  <c r="G129" i="16"/>
  <c r="G115" i="16"/>
  <c r="G109" i="16"/>
  <c r="G96" i="16"/>
  <c r="G89" i="16"/>
  <c r="G86" i="16"/>
  <c r="G83" i="16"/>
  <c r="G80" i="16"/>
  <c r="G76" i="16"/>
  <c r="G59" i="16"/>
  <c r="G45" i="16"/>
  <c r="F45" i="16"/>
  <c r="G34" i="16"/>
  <c r="G30" i="16"/>
  <c r="G22" i="16"/>
  <c r="G18" i="16"/>
  <c r="G82" i="15"/>
  <c r="G60" i="15"/>
  <c r="G56" i="15"/>
  <c r="F56" i="15"/>
  <c r="G34" i="15"/>
  <c r="G24" i="15"/>
  <c r="G31" i="15"/>
  <c r="G21" i="15"/>
  <c r="G18" i="15"/>
  <c r="G35" i="14"/>
  <c r="G31" i="14"/>
  <c r="F31" i="14"/>
  <c r="F35" i="11"/>
  <c r="G19" i="14"/>
  <c r="F19" i="14"/>
  <c r="G16" i="14"/>
  <c r="G13" i="14"/>
  <c r="G33" i="13"/>
  <c r="G28" i="13"/>
  <c r="G19" i="13"/>
  <c r="G15" i="13"/>
  <c r="G75" i="12"/>
  <c r="G68" i="12"/>
  <c r="G61" i="12"/>
  <c r="G32" i="12"/>
  <c r="G29" i="12"/>
  <c r="G40" i="11"/>
  <c r="G35" i="11"/>
  <c r="G20" i="11"/>
  <c r="G17" i="11"/>
  <c r="G325" i="2"/>
  <c r="G321" i="2"/>
  <c r="G311" i="2"/>
  <c r="G307" i="2"/>
  <c r="G304" i="2"/>
  <c r="G289" i="2"/>
  <c r="G275" i="2"/>
  <c r="G261" i="2"/>
  <c r="G256" i="2"/>
  <c r="G253" i="2"/>
  <c r="G249" i="2"/>
  <c r="G245" i="2"/>
  <c r="G231" i="2"/>
  <c r="G210" i="2"/>
  <c r="G202" i="2"/>
  <c r="G198" i="2"/>
  <c r="G192" i="2"/>
  <c r="G175" i="2"/>
  <c r="G170" i="2"/>
  <c r="G159" i="2"/>
  <c r="G155" i="2"/>
  <c r="G151" i="2"/>
  <c r="G136" i="2"/>
  <c r="G131" i="2"/>
  <c r="G126" i="2"/>
  <c r="G118" i="2"/>
  <c r="G115" i="2"/>
  <c r="G111" i="2"/>
  <c r="G100" i="2"/>
  <c r="G96" i="2"/>
  <c r="G88" i="2"/>
  <c r="G85" i="2"/>
  <c r="G69" i="2"/>
  <c r="G66" i="2"/>
  <c r="F63" i="2"/>
  <c r="G63" i="2"/>
  <c r="G57" i="2"/>
  <c r="G44" i="2"/>
  <c r="G32" i="2"/>
  <c r="G25" i="2"/>
  <c r="G19" i="2"/>
  <c r="G15" i="2"/>
  <c r="G47" i="25" l="1"/>
  <c r="G318" i="27"/>
  <c r="G323" i="27" s="1"/>
  <c r="G324" i="27" s="1"/>
  <c r="K67" i="15"/>
  <c r="F67" i="15" s="1"/>
  <c r="D61" i="25"/>
  <c r="C6" i="20" l="1"/>
  <c r="H67" i="15"/>
  <c r="D6" i="20" s="1"/>
  <c r="E54" i="18"/>
  <c r="E55" i="18" s="1"/>
  <c r="D47" i="18"/>
  <c r="F53" i="2"/>
  <c r="F115" i="16"/>
  <c r="F109" i="16"/>
  <c r="F96" i="16"/>
  <c r="F34" i="16"/>
  <c r="F30" i="16"/>
  <c r="L24" i="16"/>
  <c r="F321" i="2"/>
  <c r="G62" i="10" l="1"/>
  <c r="F261" i="16" l="1"/>
  <c r="F122" i="16"/>
  <c r="F129" i="16" s="1"/>
  <c r="F56" i="16"/>
  <c r="N58" i="16" s="1"/>
  <c r="F71" i="15"/>
  <c r="F285" i="2"/>
  <c r="F184" i="16"/>
  <c r="F65" i="15"/>
  <c r="F147" i="16" l="1"/>
  <c r="F153" i="16"/>
  <c r="F83" i="16" l="1"/>
  <c r="F86" i="16"/>
  <c r="F89" i="16"/>
  <c r="F174" i="16"/>
  <c r="F180" i="16"/>
  <c r="F209" i="16"/>
  <c r="F215" i="16"/>
  <c r="F218" i="16"/>
  <c r="F226" i="16"/>
  <c r="F230" i="16"/>
  <c r="F249" i="16"/>
  <c r="F34" i="15"/>
  <c r="F24" i="15"/>
  <c r="F32" i="12"/>
  <c r="F39" i="12"/>
  <c r="F68" i="12"/>
  <c r="F75" i="12"/>
  <c r="F25" i="2"/>
  <c r="F96" i="2"/>
  <c r="F118" i="2"/>
  <c r="F126" i="2"/>
  <c r="F131" i="2"/>
  <c r="F155" i="2"/>
  <c r="F170" i="2"/>
  <c r="F198" i="2"/>
  <c r="F210" i="2"/>
  <c r="F249" i="2"/>
  <c r="F253" i="2"/>
  <c r="F256" i="2"/>
  <c r="F261" i="2"/>
  <c r="F311" i="2"/>
  <c r="F325" i="2"/>
  <c r="E24" i="20" l="1"/>
  <c r="E31" i="20"/>
  <c r="E23" i="20"/>
  <c r="E109" i="16" l="1"/>
  <c r="D109" i="16"/>
  <c r="C33" i="28"/>
  <c r="C15" i="28"/>
  <c r="D65" i="25" l="1"/>
  <c r="D64" i="25"/>
  <c r="D63" i="25"/>
  <c r="D59" i="25"/>
  <c r="D57" i="25"/>
  <c r="K259" i="27"/>
  <c r="K256" i="27"/>
  <c r="K219" i="27"/>
  <c r="K230" i="27"/>
  <c r="K216" i="27"/>
  <c r="K200" i="27"/>
  <c r="K135" i="27"/>
  <c r="K95" i="27"/>
  <c r="K92" i="27"/>
  <c r="K51" i="27"/>
  <c r="M51" i="27" s="1"/>
  <c r="K45" i="27"/>
  <c r="K39" i="27"/>
  <c r="K29" i="27"/>
  <c r="K23" i="27"/>
  <c r="K20" i="27"/>
  <c r="K19" i="27"/>
  <c r="K13" i="27"/>
  <c r="K10" i="27"/>
  <c r="K7" i="27"/>
  <c r="C9" i="20"/>
  <c r="E9" i="20" s="1"/>
  <c r="C8" i="20"/>
  <c r="E8" i="20" s="1"/>
  <c r="C7" i="20"/>
  <c r="E7" i="20" s="1"/>
  <c r="D8" i="26"/>
  <c r="E8" i="26"/>
  <c r="F8" i="26"/>
  <c r="C11" i="20" s="1"/>
  <c r="E11" i="20" s="1"/>
  <c r="D10" i="25"/>
  <c r="E10" i="25"/>
  <c r="D55" i="25" s="1"/>
  <c r="D16" i="25"/>
  <c r="E16" i="25"/>
  <c r="D19" i="25"/>
  <c r="E19" i="25"/>
  <c r="D30" i="25"/>
  <c r="E30" i="25"/>
  <c r="D41" i="25"/>
  <c r="E41" i="25"/>
  <c r="D44" i="25"/>
  <c r="E44" i="25"/>
  <c r="K21" i="25"/>
  <c r="K22" i="25"/>
  <c r="K23" i="25"/>
  <c r="K24" i="25"/>
  <c r="K26" i="25"/>
  <c r="K27" i="25"/>
  <c r="K28" i="25"/>
  <c r="K29" i="25"/>
  <c r="F10" i="25"/>
  <c r="E55" i="25" s="1"/>
  <c r="E72" i="25" s="1"/>
  <c r="F44" i="25"/>
  <c r="F41" i="25"/>
  <c r="D69" i="25" s="1"/>
  <c r="F36" i="25"/>
  <c r="D68" i="25" s="1"/>
  <c r="F33" i="25"/>
  <c r="D67" i="25" s="1"/>
  <c r="E32" i="25"/>
  <c r="E38" i="25" s="1"/>
  <c r="F22" i="25"/>
  <c r="D60" i="25" s="1"/>
  <c r="F18" i="25"/>
  <c r="F12" i="25"/>
  <c r="G14" i="5"/>
  <c r="K117" i="24"/>
  <c r="K116" i="24"/>
  <c r="F116" i="24"/>
  <c r="F117" i="24" s="1"/>
  <c r="K115" i="24"/>
  <c r="K114" i="24"/>
  <c r="N113" i="24"/>
  <c r="K113" i="24"/>
  <c r="K112" i="24"/>
  <c r="K111" i="24"/>
  <c r="K110" i="24"/>
  <c r="K109" i="24"/>
  <c r="K108" i="24"/>
  <c r="K107" i="24"/>
  <c r="M107" i="24" s="1"/>
  <c r="K92" i="24"/>
  <c r="K91" i="24"/>
  <c r="K90" i="24"/>
  <c r="K89" i="24"/>
  <c r="K88" i="24"/>
  <c r="K85" i="24"/>
  <c r="K84" i="24"/>
  <c r="K83" i="24"/>
  <c r="K82" i="24"/>
  <c r="K81" i="24"/>
  <c r="K80" i="24"/>
  <c r="K79" i="24"/>
  <c r="K78" i="24"/>
  <c r="K77" i="24"/>
  <c r="K45" i="24"/>
  <c r="K44" i="24"/>
  <c r="K43" i="24"/>
  <c r="K42" i="24"/>
  <c r="K41" i="24"/>
  <c r="K40" i="24"/>
  <c r="F48" i="24"/>
  <c r="F54" i="24" s="1"/>
  <c r="K49" i="24"/>
  <c r="K50" i="24"/>
  <c r="K51" i="24"/>
  <c r="K52" i="24"/>
  <c r="K53" i="24"/>
  <c r="K21" i="24"/>
  <c r="K20" i="24"/>
  <c r="K19" i="24"/>
  <c r="K18" i="24"/>
  <c r="K17" i="24"/>
  <c r="K16" i="24"/>
  <c r="K15" i="24"/>
  <c r="K14" i="24"/>
  <c r="K13" i="24"/>
  <c r="K12" i="24"/>
  <c r="K74" i="24"/>
  <c r="K73" i="24"/>
  <c r="K72" i="24"/>
  <c r="K71" i="24"/>
  <c r="K70" i="24"/>
  <c r="K69" i="24"/>
  <c r="K68" i="24"/>
  <c r="K67" i="24"/>
  <c r="K66" i="24"/>
  <c r="K65" i="24"/>
  <c r="K64" i="24"/>
  <c r="K63" i="24"/>
  <c r="K62" i="24"/>
  <c r="K61" i="24"/>
  <c r="K60" i="24"/>
  <c r="K59" i="24"/>
  <c r="F59" i="24" s="1"/>
  <c r="F75" i="24" s="1"/>
  <c r="K58" i="24"/>
  <c r="K57" i="24"/>
  <c r="K56" i="24"/>
  <c r="K95" i="24"/>
  <c r="K96" i="24"/>
  <c r="K99" i="24"/>
  <c r="K100" i="24"/>
  <c r="K101" i="24"/>
  <c r="K134" i="24"/>
  <c r="K133" i="24"/>
  <c r="K132" i="24"/>
  <c r="K131" i="24"/>
  <c r="K130" i="24"/>
  <c r="K129" i="24"/>
  <c r="K128" i="24"/>
  <c r="K127" i="24"/>
  <c r="K126" i="24"/>
  <c r="K125" i="24"/>
  <c r="K124" i="24"/>
  <c r="K123" i="24"/>
  <c r="K122" i="24"/>
  <c r="K121" i="24"/>
  <c r="K120" i="24"/>
  <c r="K119" i="24"/>
  <c r="K196" i="24"/>
  <c r="K195" i="24"/>
  <c r="K193" i="24"/>
  <c r="K191" i="24"/>
  <c r="K190" i="24"/>
  <c r="K189" i="24"/>
  <c r="K188" i="24"/>
  <c r="K187" i="24"/>
  <c r="K185" i="24"/>
  <c r="K184" i="24"/>
  <c r="K183" i="24"/>
  <c r="K182" i="24"/>
  <c r="K179" i="24"/>
  <c r="K178" i="24"/>
  <c r="K177" i="24"/>
  <c r="K175" i="24"/>
  <c r="K174" i="24"/>
  <c r="K173" i="24"/>
  <c r="K172" i="24"/>
  <c r="K171" i="24"/>
  <c r="K167" i="24"/>
  <c r="K166" i="24"/>
  <c r="K165" i="24"/>
  <c r="K164" i="24"/>
  <c r="K163" i="24"/>
  <c r="K162" i="24"/>
  <c r="K161" i="24"/>
  <c r="K160" i="24"/>
  <c r="K159" i="24"/>
  <c r="K146" i="24"/>
  <c r="K145" i="24"/>
  <c r="K144" i="24"/>
  <c r="K143" i="24"/>
  <c r="K142" i="24"/>
  <c r="K141" i="24"/>
  <c r="K139" i="24"/>
  <c r="J12" i="23"/>
  <c r="J8" i="23"/>
  <c r="J7" i="23"/>
  <c r="J5" i="23"/>
  <c r="J10" i="23"/>
  <c r="J9" i="23"/>
  <c r="J11" i="23"/>
  <c r="F9" i="22"/>
  <c r="C32" i="20" s="1"/>
  <c r="E32" i="20" s="1"/>
  <c r="L4" i="22"/>
  <c r="L5" i="22"/>
  <c r="L6" i="22"/>
  <c r="L7" i="22"/>
  <c r="C29" i="20"/>
  <c r="E29" i="20" s="1"/>
  <c r="F31" i="15"/>
  <c r="K29" i="15"/>
  <c r="F189" i="16"/>
  <c r="N187" i="16" s="1"/>
  <c r="F200" i="24" l="1"/>
  <c r="C38" i="30" s="1"/>
  <c r="E38" i="30" s="1"/>
  <c r="C33" i="20"/>
  <c r="F322" i="27"/>
  <c r="F324" i="27" s="1"/>
  <c r="E47" i="25"/>
  <c r="K32" i="25"/>
  <c r="L32" i="25" s="1"/>
  <c r="E33" i="20"/>
  <c r="F21" i="16"/>
  <c r="F22" i="16" s="1"/>
  <c r="F19" i="25"/>
  <c r="H18" i="25"/>
  <c r="F16" i="25"/>
  <c r="D56" i="25"/>
  <c r="D47" i="25"/>
  <c r="D58" i="25"/>
  <c r="F30" i="25"/>
  <c r="M32" i="25" l="1"/>
  <c r="H19" i="25"/>
  <c r="H47" i="25" s="1"/>
  <c r="H288" i="2"/>
  <c r="F32" i="25"/>
  <c r="F27" i="15"/>
  <c r="L205" i="2"/>
  <c r="L252" i="2"/>
  <c r="F38" i="25" l="1"/>
  <c r="F47" i="25" s="1"/>
  <c r="D66" i="25"/>
  <c r="D72" i="25" s="1"/>
  <c r="C16" i="20" s="1"/>
  <c r="E16" i="20" s="1"/>
  <c r="F58" i="25"/>
  <c r="F72" i="25" s="1"/>
  <c r="D16" i="20" s="1"/>
  <c r="C26" i="20"/>
  <c r="E26" i="20" s="1"/>
  <c r="C25" i="20"/>
  <c r="E25" i="20" s="1"/>
  <c r="F22" i="13" l="1"/>
  <c r="F28" i="13" s="1"/>
  <c r="E118" i="16" l="1"/>
  <c r="L118" i="16" s="1"/>
  <c r="M118" i="16" s="1"/>
  <c r="F224" i="2"/>
  <c r="N118" i="16" l="1"/>
  <c r="K88" i="15" l="1"/>
  <c r="G18" i="5"/>
  <c r="G7" i="5" l="1"/>
  <c r="G8" i="5"/>
  <c r="F211" i="16"/>
  <c r="F212" i="16" s="1"/>
  <c r="G4" i="5"/>
  <c r="G6" i="5"/>
  <c r="G9" i="5"/>
  <c r="G10" i="5"/>
  <c r="G11" i="5"/>
  <c r="G13" i="5"/>
  <c r="G15" i="5"/>
  <c r="G16" i="5"/>
  <c r="G17" i="5"/>
  <c r="F18" i="2" l="1"/>
  <c r="F19" i="2" s="1"/>
  <c r="F149" i="16"/>
  <c r="F150" i="16" s="1"/>
  <c r="F306" i="2"/>
  <c r="F307" i="2" s="1"/>
  <c r="F201" i="2"/>
  <c r="F202" i="2" s="1"/>
  <c r="F114" i="2"/>
  <c r="F115" i="2" s="1"/>
  <c r="F19" i="11"/>
  <c r="F20" i="11" s="1"/>
  <c r="F79" i="16"/>
  <c r="F80" i="16" s="1"/>
  <c r="F15" i="14"/>
  <c r="F16" i="14" s="1"/>
  <c r="F158" i="2"/>
  <c r="F159" i="2" s="1"/>
  <c r="F87" i="2"/>
  <c r="F88" i="2" s="1"/>
  <c r="F18" i="13"/>
  <c r="F19" i="13" s="1"/>
  <c r="F20" i="15"/>
  <c r="F21" i="15" s="1"/>
  <c r="H19" i="5" l="1"/>
  <c r="D27" i="20" s="1"/>
  <c r="D100" i="4"/>
  <c r="D47" i="4"/>
  <c r="I69" i="4" l="1"/>
  <c r="D4" i="4"/>
  <c r="F20" i="6" l="1"/>
  <c r="F19" i="6"/>
  <c r="H19" i="6" s="1"/>
  <c r="H24" i="16" s="1"/>
  <c r="F18" i="6"/>
  <c r="H18" i="6" s="1"/>
  <c r="H23" i="15" s="1"/>
  <c r="H24" i="15" s="1"/>
  <c r="P79" i="15" s="1"/>
  <c r="F17" i="6"/>
  <c r="F16" i="6"/>
  <c r="F15" i="6"/>
  <c r="H15" i="6" s="1"/>
  <c r="F13" i="6"/>
  <c r="H13" i="6" s="1"/>
  <c r="H196" i="2" s="1"/>
  <c r="F12" i="6"/>
  <c r="F11" i="6"/>
  <c r="H11" i="6" s="1"/>
  <c r="H194" i="2" s="1"/>
  <c r="H198" i="2" s="1"/>
  <c r="F10" i="6"/>
  <c r="H10" i="6" s="1"/>
  <c r="H154" i="2" s="1"/>
  <c r="H155" i="2" s="1"/>
  <c r="H4" i="6"/>
  <c r="H117" i="2" s="1"/>
  <c r="H118" i="2" s="1"/>
  <c r="O134" i="2" s="1"/>
  <c r="F22" i="18" s="1"/>
  <c r="F3" i="6"/>
  <c r="H3" i="6" s="1"/>
  <c r="H30" i="16" l="1"/>
  <c r="O57" i="16" s="1"/>
  <c r="F29" i="18" s="1"/>
  <c r="F14" i="18"/>
  <c r="F18" i="18"/>
  <c r="H18" i="14"/>
  <c r="H19" i="14" s="1"/>
  <c r="P33" i="14" s="1"/>
  <c r="F64" i="15"/>
  <c r="E100" i="4"/>
  <c r="E47" i="4"/>
  <c r="E29" i="4"/>
  <c r="E20" i="4"/>
  <c r="E10" i="4"/>
  <c r="F33" i="18" l="1"/>
  <c r="F21" i="18"/>
  <c r="F7" i="18"/>
  <c r="C40" i="20"/>
  <c r="C45" i="20" s="1"/>
  <c r="L239" i="3"/>
  <c r="F239" i="3" s="1"/>
  <c r="H239" i="3" s="1"/>
  <c r="L240" i="3"/>
  <c r="F240" i="3" s="1"/>
  <c r="H240" i="3" s="1"/>
  <c r="L241" i="3"/>
  <c r="F241" i="3" s="1"/>
  <c r="H241" i="3" s="1"/>
  <c r="L242" i="3"/>
  <c r="F242" i="3" s="1"/>
  <c r="H242" i="3" s="1"/>
  <c r="L243" i="3"/>
  <c r="F243" i="3" s="1"/>
  <c r="H243" i="3" s="1"/>
  <c r="L244" i="3"/>
  <c r="F244" i="3" s="1"/>
  <c r="H244" i="3" s="1"/>
  <c r="L245" i="3"/>
  <c r="F245" i="3" s="1"/>
  <c r="H245" i="3" s="1"/>
  <c r="L246" i="3"/>
  <c r="F246" i="3" s="1"/>
  <c r="H246" i="3" s="1"/>
  <c r="L247" i="3"/>
  <c r="F247" i="3" s="1"/>
  <c r="H247" i="3" s="1"/>
  <c r="L248" i="3"/>
  <c r="F248" i="3" s="1"/>
  <c r="H248" i="3" s="1"/>
  <c r="L249" i="3"/>
  <c r="F249" i="3" s="1"/>
  <c r="H249" i="3" s="1"/>
  <c r="L250" i="3"/>
  <c r="F250" i="3" s="1"/>
  <c r="H250" i="3" s="1"/>
  <c r="L251" i="3"/>
  <c r="F251" i="3" s="1"/>
  <c r="H251" i="3" s="1"/>
  <c r="L238" i="3"/>
  <c r="F238" i="3" s="1"/>
  <c r="H238" i="3" s="1"/>
  <c r="L209" i="3"/>
  <c r="F209" i="3" s="1"/>
  <c r="H209" i="3" s="1"/>
  <c r="L210" i="3"/>
  <c r="F210" i="3" s="1"/>
  <c r="H210" i="3" s="1"/>
  <c r="L211" i="3"/>
  <c r="F211" i="3" s="1"/>
  <c r="H211" i="3" s="1"/>
  <c r="L212" i="3"/>
  <c r="F212" i="3" s="1"/>
  <c r="H212" i="3" s="1"/>
  <c r="L213" i="3"/>
  <c r="F213" i="3" s="1"/>
  <c r="H213" i="3" s="1"/>
  <c r="L214" i="3"/>
  <c r="F214" i="3" s="1"/>
  <c r="H214" i="3" s="1"/>
  <c r="L215" i="3"/>
  <c r="F215" i="3" s="1"/>
  <c r="H215" i="3" s="1"/>
  <c r="L216" i="3"/>
  <c r="F216" i="3" s="1"/>
  <c r="H216" i="3" s="1"/>
  <c r="L217" i="3"/>
  <c r="F217" i="3" s="1"/>
  <c r="H217" i="3" s="1"/>
  <c r="L218" i="3"/>
  <c r="F218" i="3" s="1"/>
  <c r="H218" i="3" s="1"/>
  <c r="L219" i="3"/>
  <c r="F219" i="3" s="1"/>
  <c r="H219" i="3" s="1"/>
  <c r="L220" i="3"/>
  <c r="F220" i="3" s="1"/>
  <c r="H220" i="3" s="1"/>
  <c r="L221" i="3"/>
  <c r="F221" i="3" s="1"/>
  <c r="H221" i="3" s="1"/>
  <c r="L208" i="3"/>
  <c r="F208" i="3" s="1"/>
  <c r="H208" i="3" s="1"/>
  <c r="L195" i="3"/>
  <c r="F195" i="3" s="1"/>
  <c r="H195" i="3" s="1"/>
  <c r="L196" i="3"/>
  <c r="F196" i="3" s="1"/>
  <c r="H196" i="3" s="1"/>
  <c r="L197" i="3"/>
  <c r="F197" i="3" s="1"/>
  <c r="H197" i="3" s="1"/>
  <c r="L198" i="3"/>
  <c r="F198" i="3" s="1"/>
  <c r="L199" i="3"/>
  <c r="F199" i="3" s="1"/>
  <c r="H199" i="3" s="1"/>
  <c r="L200" i="3"/>
  <c r="F200" i="3" s="1"/>
  <c r="H200" i="3" s="1"/>
  <c r="L201" i="3"/>
  <c r="F201" i="3" s="1"/>
  <c r="H201" i="3" s="1"/>
  <c r="L202" i="3"/>
  <c r="F202" i="3" s="1"/>
  <c r="H202" i="3" s="1"/>
  <c r="L203" i="3"/>
  <c r="F203" i="3" s="1"/>
  <c r="H203" i="3" s="1"/>
  <c r="L204" i="3"/>
  <c r="F204" i="3" s="1"/>
  <c r="H204" i="3" s="1"/>
  <c r="L205" i="3"/>
  <c r="F205" i="3" s="1"/>
  <c r="H205" i="3" s="1"/>
  <c r="L194" i="3"/>
  <c r="F194" i="3" s="1"/>
  <c r="H194" i="3" s="1"/>
  <c r="L179" i="3"/>
  <c r="F179" i="3" s="1"/>
  <c r="H179" i="3" s="1"/>
  <c r="L180" i="3"/>
  <c r="F180" i="3" s="1"/>
  <c r="H180" i="3" s="1"/>
  <c r="L181" i="3"/>
  <c r="F181" i="3" s="1"/>
  <c r="H181" i="3" s="1"/>
  <c r="L182" i="3"/>
  <c r="F182" i="3" s="1"/>
  <c r="H182" i="3" s="1"/>
  <c r="L183" i="3"/>
  <c r="F183" i="3" s="1"/>
  <c r="H183" i="3" s="1"/>
  <c r="L185" i="3"/>
  <c r="F185" i="3" s="1"/>
  <c r="L186" i="3"/>
  <c r="F186" i="3" s="1"/>
  <c r="H186" i="3" s="1"/>
  <c r="L187" i="3"/>
  <c r="F187" i="3" s="1"/>
  <c r="H187" i="3" s="1"/>
  <c r="L188" i="3"/>
  <c r="F188" i="3" s="1"/>
  <c r="H188" i="3" s="1"/>
  <c r="L189" i="3"/>
  <c r="F189" i="3" s="1"/>
  <c r="H189" i="3" s="1"/>
  <c r="L190" i="3"/>
  <c r="F190" i="3" s="1"/>
  <c r="H190" i="3" s="1"/>
  <c r="L191" i="3"/>
  <c r="F191" i="3" s="1"/>
  <c r="H191" i="3" s="1"/>
  <c r="L178" i="3"/>
  <c r="F178" i="3" s="1"/>
  <c r="H178" i="3" s="1"/>
  <c r="L163" i="3"/>
  <c r="F163" i="3" s="1"/>
  <c r="H163" i="3" s="1"/>
  <c r="L164" i="3"/>
  <c r="F164" i="3" s="1"/>
  <c r="H164" i="3" s="1"/>
  <c r="L165" i="3"/>
  <c r="F165" i="3" s="1"/>
  <c r="H165" i="3" s="1"/>
  <c r="L166" i="3"/>
  <c r="F166" i="3" s="1"/>
  <c r="H166" i="3" s="1"/>
  <c r="L167" i="3"/>
  <c r="F167" i="3" s="1"/>
  <c r="H167" i="3" s="1"/>
  <c r="L168" i="3"/>
  <c r="F168" i="3" s="1"/>
  <c r="H168" i="3" s="1"/>
  <c r="L169" i="3"/>
  <c r="F169" i="3" s="1"/>
  <c r="H169" i="3" s="1"/>
  <c r="L170" i="3"/>
  <c r="F170" i="3" s="1"/>
  <c r="H170" i="3" s="1"/>
  <c r="L171" i="3"/>
  <c r="F171" i="3" s="1"/>
  <c r="H171" i="3" s="1"/>
  <c r="L172" i="3"/>
  <c r="F172" i="3" s="1"/>
  <c r="H172" i="3" s="1"/>
  <c r="L173" i="3"/>
  <c r="F173" i="3" s="1"/>
  <c r="H173" i="3" s="1"/>
  <c r="L174" i="3"/>
  <c r="F174" i="3" s="1"/>
  <c r="L175" i="3"/>
  <c r="F175" i="3" s="1"/>
  <c r="H175" i="3" s="1"/>
  <c r="L162" i="3"/>
  <c r="F162" i="3" s="1"/>
  <c r="H162" i="3" s="1"/>
  <c r="L150" i="3"/>
  <c r="F150" i="3" s="1"/>
  <c r="H150" i="3" s="1"/>
  <c r="J235" i="2" s="1"/>
  <c r="L151" i="3"/>
  <c r="F151" i="3" s="1"/>
  <c r="H151" i="3" s="1"/>
  <c r="J236" i="2" s="1"/>
  <c r="L152" i="3"/>
  <c r="F152" i="3" s="1"/>
  <c r="H152" i="3" s="1"/>
  <c r="J237" i="2" s="1"/>
  <c r="L153" i="3"/>
  <c r="F153" i="3" s="1"/>
  <c r="H153" i="3" s="1"/>
  <c r="J238" i="2" s="1"/>
  <c r="L154" i="3"/>
  <c r="F154" i="3" s="1"/>
  <c r="H154" i="3" s="1"/>
  <c r="J239" i="2" s="1"/>
  <c r="L155" i="3"/>
  <c r="F155" i="3" s="1"/>
  <c r="H155" i="3" s="1"/>
  <c r="J240" i="2" s="1"/>
  <c r="L156" i="3"/>
  <c r="F156" i="3" s="1"/>
  <c r="H156" i="3" s="1"/>
  <c r="J241" i="2" s="1"/>
  <c r="L157" i="3"/>
  <c r="F157" i="3" s="1"/>
  <c r="H157" i="3" s="1"/>
  <c r="J242" i="2" s="1"/>
  <c r="L158" i="3"/>
  <c r="F158" i="3" s="1"/>
  <c r="H158" i="3" s="1"/>
  <c r="J243" i="2" s="1"/>
  <c r="L159" i="3"/>
  <c r="F159" i="3" s="1"/>
  <c r="H159" i="3" s="1"/>
  <c r="J244" i="2" s="1"/>
  <c r="L149" i="3"/>
  <c r="F149" i="3" s="1"/>
  <c r="H149" i="3" s="1"/>
  <c r="L140" i="3"/>
  <c r="F140" i="3" s="1"/>
  <c r="H140" i="3" s="1"/>
  <c r="L141" i="3"/>
  <c r="F141" i="3" s="1"/>
  <c r="H141" i="3" s="1"/>
  <c r="L142" i="3"/>
  <c r="F142" i="3" s="1"/>
  <c r="H142" i="3" s="1"/>
  <c r="L143" i="3"/>
  <c r="F143" i="3" s="1"/>
  <c r="H143" i="3" s="1"/>
  <c r="L144" i="3"/>
  <c r="F144" i="3" s="1"/>
  <c r="H144" i="3" s="1"/>
  <c r="L145" i="3"/>
  <c r="F145" i="3" s="1"/>
  <c r="H145" i="3" s="1"/>
  <c r="L146" i="3"/>
  <c r="F146" i="3" s="1"/>
  <c r="H146" i="3" s="1"/>
  <c r="L139" i="3"/>
  <c r="F139" i="3" s="1"/>
  <c r="H139" i="3" s="1"/>
  <c r="L124" i="3"/>
  <c r="F124" i="3" s="1"/>
  <c r="H124" i="3" s="1"/>
  <c r="J179" i="2" s="1"/>
  <c r="L125" i="3"/>
  <c r="F125" i="3" s="1"/>
  <c r="H125" i="3" s="1"/>
  <c r="J180" i="2" s="1"/>
  <c r="L126" i="3"/>
  <c r="F126" i="3" s="1"/>
  <c r="H126" i="3" s="1"/>
  <c r="J181" i="2" s="1"/>
  <c r="L127" i="3"/>
  <c r="F127" i="3" s="1"/>
  <c r="H127" i="3" s="1"/>
  <c r="J182" i="2" s="1"/>
  <c r="L128" i="3"/>
  <c r="F128" i="3" s="1"/>
  <c r="L129" i="3"/>
  <c r="F129" i="3" s="1"/>
  <c r="H129" i="3" s="1"/>
  <c r="J184" i="2" s="1"/>
  <c r="L130" i="3"/>
  <c r="F130" i="3" s="1"/>
  <c r="H130" i="3" s="1"/>
  <c r="J185" i="2" s="1"/>
  <c r="L131" i="3"/>
  <c r="F131" i="3" s="1"/>
  <c r="H131" i="3" s="1"/>
  <c r="J186" i="2" s="1"/>
  <c r="L132" i="3"/>
  <c r="F132" i="3" s="1"/>
  <c r="H132" i="3" s="1"/>
  <c r="J187" i="2" s="1"/>
  <c r="L133" i="3"/>
  <c r="F133" i="3" s="1"/>
  <c r="H133" i="3" s="1"/>
  <c r="J188" i="2" s="1"/>
  <c r="L134" i="3"/>
  <c r="F134" i="3" s="1"/>
  <c r="H134" i="3" s="1"/>
  <c r="J189" i="2" s="1"/>
  <c r="L135" i="3"/>
  <c r="F135" i="3" s="1"/>
  <c r="H135" i="3" s="1"/>
  <c r="J190" i="2" s="1"/>
  <c r="L136" i="3"/>
  <c r="F136" i="3" s="1"/>
  <c r="H136" i="3" s="1"/>
  <c r="J191" i="2" s="1"/>
  <c r="L123" i="3"/>
  <c r="F123" i="3" s="1"/>
  <c r="H123" i="3" s="1"/>
  <c r="L111" i="3"/>
  <c r="F111" i="3" s="1"/>
  <c r="H111" i="3" s="1"/>
  <c r="L112" i="3"/>
  <c r="F112" i="3" s="1"/>
  <c r="H112" i="3" s="1"/>
  <c r="J142" i="2" s="1"/>
  <c r="L113" i="3"/>
  <c r="F113" i="3" s="1"/>
  <c r="H113" i="3" s="1"/>
  <c r="J143" i="2" s="1"/>
  <c r="L114" i="3"/>
  <c r="F114" i="3" s="1"/>
  <c r="H114" i="3" s="1"/>
  <c r="J144" i="2" s="1"/>
  <c r="L115" i="3"/>
  <c r="F115" i="3" s="1"/>
  <c r="H115" i="3" s="1"/>
  <c r="J145" i="2" s="1"/>
  <c r="L116" i="3"/>
  <c r="F116" i="3" s="1"/>
  <c r="H116" i="3" s="1"/>
  <c r="J146" i="2" s="1"/>
  <c r="L117" i="3"/>
  <c r="F117" i="3" s="1"/>
  <c r="H117" i="3" s="1"/>
  <c r="J147" i="2" s="1"/>
  <c r="L118" i="3"/>
  <c r="F118" i="3" s="1"/>
  <c r="H118" i="3" s="1"/>
  <c r="J148" i="2" s="1"/>
  <c r="L119" i="3"/>
  <c r="F119" i="3" s="1"/>
  <c r="H119" i="3" s="1"/>
  <c r="J149" i="2" s="1"/>
  <c r="L120" i="3"/>
  <c r="F120" i="3" s="1"/>
  <c r="H120" i="3" s="1"/>
  <c r="J150" i="2" s="1"/>
  <c r="L110" i="3"/>
  <c r="F110" i="3" s="1"/>
  <c r="L96" i="3"/>
  <c r="F96" i="3" s="1"/>
  <c r="H96" i="3" s="1"/>
  <c r="L97" i="3"/>
  <c r="F97" i="3" s="1"/>
  <c r="H97" i="3" s="1"/>
  <c r="L98" i="3"/>
  <c r="F98" i="3" s="1"/>
  <c r="H98" i="3" s="1"/>
  <c r="L99" i="3"/>
  <c r="F99" i="3" s="1"/>
  <c r="H99" i="3" s="1"/>
  <c r="L100" i="3"/>
  <c r="F100" i="3" s="1"/>
  <c r="L101" i="3"/>
  <c r="F101" i="3" s="1"/>
  <c r="H101" i="3" s="1"/>
  <c r="L102" i="3"/>
  <c r="F102" i="3" s="1"/>
  <c r="H102" i="3" s="1"/>
  <c r="L103" i="3"/>
  <c r="F103" i="3" s="1"/>
  <c r="H103" i="3" s="1"/>
  <c r="L104" i="3"/>
  <c r="F104" i="3" s="1"/>
  <c r="H104" i="3" s="1"/>
  <c r="L105" i="3"/>
  <c r="F105" i="3" s="1"/>
  <c r="H105" i="3" s="1"/>
  <c r="L106" i="3"/>
  <c r="F106" i="3" s="1"/>
  <c r="H106" i="3" s="1"/>
  <c r="L107" i="3"/>
  <c r="F107" i="3" s="1"/>
  <c r="H107" i="3" s="1"/>
  <c r="L95" i="3"/>
  <c r="F95" i="3" s="1"/>
  <c r="H95" i="3" s="1"/>
  <c r="L84" i="3"/>
  <c r="F84" i="3" s="1"/>
  <c r="H84" i="3" s="1"/>
  <c r="L85" i="3"/>
  <c r="F85" i="3" s="1"/>
  <c r="H85" i="3" s="1"/>
  <c r="L86" i="3"/>
  <c r="F86" i="3" s="1"/>
  <c r="H86" i="3" s="1"/>
  <c r="L87" i="3"/>
  <c r="F87" i="3" s="1"/>
  <c r="H87" i="3" s="1"/>
  <c r="L88" i="3"/>
  <c r="F88" i="3" s="1"/>
  <c r="H88" i="3" s="1"/>
  <c r="L89" i="3"/>
  <c r="F89" i="3" s="1"/>
  <c r="H89" i="3" s="1"/>
  <c r="L90" i="3"/>
  <c r="F90" i="3" s="1"/>
  <c r="H90" i="3" s="1"/>
  <c r="L91" i="3"/>
  <c r="F91" i="3" s="1"/>
  <c r="H91" i="3" s="1"/>
  <c r="L92" i="3"/>
  <c r="F92" i="3" s="1"/>
  <c r="H92" i="3" s="1"/>
  <c r="L83" i="3"/>
  <c r="L74" i="3"/>
  <c r="F74" i="3" s="1"/>
  <c r="H74" i="3" s="1"/>
  <c r="J104" i="2" s="1"/>
  <c r="L75" i="3"/>
  <c r="F75" i="3" s="1"/>
  <c r="H75" i="3" s="1"/>
  <c r="J105" i="2" s="1"/>
  <c r="L76" i="3"/>
  <c r="F76" i="3" s="1"/>
  <c r="H76" i="3" s="1"/>
  <c r="J106" i="2" s="1"/>
  <c r="L77" i="3"/>
  <c r="F77" i="3" s="1"/>
  <c r="H77" i="3" s="1"/>
  <c r="J107" i="2" s="1"/>
  <c r="L78" i="3"/>
  <c r="F78" i="3" s="1"/>
  <c r="H78" i="3" s="1"/>
  <c r="J108" i="2" s="1"/>
  <c r="L79" i="3"/>
  <c r="F79" i="3" s="1"/>
  <c r="H79" i="3" s="1"/>
  <c r="J109" i="2" s="1"/>
  <c r="L80" i="3"/>
  <c r="F80" i="3" s="1"/>
  <c r="H80" i="3" s="1"/>
  <c r="J110" i="2" s="1"/>
  <c r="L73" i="3"/>
  <c r="F73" i="3" s="1"/>
  <c r="H73" i="3" s="1"/>
  <c r="L50" i="3"/>
  <c r="F50" i="3" s="1"/>
  <c r="H50" i="3" s="1"/>
  <c r="J50" i="2" s="1"/>
  <c r="L70" i="3"/>
  <c r="F70" i="3" s="1"/>
  <c r="H70" i="3" s="1"/>
  <c r="J84" i="2" s="1"/>
  <c r="L60" i="3"/>
  <c r="F60" i="3" s="1"/>
  <c r="H60" i="3" s="1"/>
  <c r="J74" i="2" s="1"/>
  <c r="L61" i="3"/>
  <c r="F61" i="3" s="1"/>
  <c r="H61" i="3" s="1"/>
  <c r="J75" i="2" s="1"/>
  <c r="L62" i="3"/>
  <c r="F62" i="3" s="1"/>
  <c r="H62" i="3" s="1"/>
  <c r="J76" i="2" s="1"/>
  <c r="L63" i="3"/>
  <c r="F63" i="3" s="1"/>
  <c r="H63" i="3" s="1"/>
  <c r="J77" i="2" s="1"/>
  <c r="L64" i="3"/>
  <c r="F64" i="3" s="1"/>
  <c r="H64" i="3" s="1"/>
  <c r="J78" i="2" s="1"/>
  <c r="L65" i="3"/>
  <c r="F65" i="3" s="1"/>
  <c r="H65" i="3" s="1"/>
  <c r="J79" i="2" s="1"/>
  <c r="L66" i="3"/>
  <c r="F66" i="3" s="1"/>
  <c r="H66" i="3" s="1"/>
  <c r="J80" i="2" s="1"/>
  <c r="L67" i="3"/>
  <c r="F67" i="3" s="1"/>
  <c r="H67" i="3" s="1"/>
  <c r="J81" i="2" s="1"/>
  <c r="L68" i="3"/>
  <c r="F68" i="3" s="1"/>
  <c r="H68" i="3" s="1"/>
  <c r="J82" i="2" s="1"/>
  <c r="L69" i="3"/>
  <c r="F69" i="3" s="1"/>
  <c r="H69" i="3" s="1"/>
  <c r="J83" i="2" s="1"/>
  <c r="L59" i="3"/>
  <c r="F59" i="3" s="1"/>
  <c r="H59" i="3" s="1"/>
  <c r="L48" i="3"/>
  <c r="F48" i="3" s="1"/>
  <c r="L49" i="3"/>
  <c r="F49" i="3" s="1"/>
  <c r="H49" i="3" s="1"/>
  <c r="J49" i="2" s="1"/>
  <c r="L51" i="3"/>
  <c r="F51" i="3" s="1"/>
  <c r="L52" i="3"/>
  <c r="F52" i="3" s="1"/>
  <c r="H52" i="3" s="1"/>
  <c r="J52" i="2" s="1"/>
  <c r="L53" i="3"/>
  <c r="F53" i="3" s="1"/>
  <c r="H53" i="3" s="1"/>
  <c r="J53" i="2" s="1"/>
  <c r="L54" i="3"/>
  <c r="F54" i="3" s="1"/>
  <c r="H54" i="3" s="1"/>
  <c r="J54" i="2" s="1"/>
  <c r="L55" i="3"/>
  <c r="F55" i="3" s="1"/>
  <c r="H55" i="3" s="1"/>
  <c r="J55" i="2" s="1"/>
  <c r="L56" i="3"/>
  <c r="F56" i="3" s="1"/>
  <c r="H56" i="3" s="1"/>
  <c r="J56" i="2" s="1"/>
  <c r="L47" i="3"/>
  <c r="F47" i="3" s="1"/>
  <c r="H47" i="3" s="1"/>
  <c r="L32" i="3"/>
  <c r="L33" i="3"/>
  <c r="L31" i="3"/>
  <c r="L18" i="3"/>
  <c r="F18" i="3" s="1"/>
  <c r="L19" i="3"/>
  <c r="F19" i="3" s="1"/>
  <c r="L20" i="3"/>
  <c r="F20" i="3" s="1"/>
  <c r="H20" i="3" s="1"/>
  <c r="L21" i="3"/>
  <c r="F21" i="3" s="1"/>
  <c r="H21" i="3" s="1"/>
  <c r="L22" i="3"/>
  <c r="F22" i="3" s="1"/>
  <c r="H22" i="3" s="1"/>
  <c r="L23" i="3"/>
  <c r="F23" i="3" s="1"/>
  <c r="H23" i="3" s="1"/>
  <c r="L24" i="3"/>
  <c r="F24" i="3" s="1"/>
  <c r="H24" i="3" s="1"/>
  <c r="L25" i="3"/>
  <c r="F25" i="3" s="1"/>
  <c r="H25" i="3" s="1"/>
  <c r="L26" i="3"/>
  <c r="F26" i="3" s="1"/>
  <c r="H26" i="3" s="1"/>
  <c r="L27" i="3"/>
  <c r="F27" i="3" s="1"/>
  <c r="H27" i="3" s="1"/>
  <c r="L17" i="3"/>
  <c r="F17" i="3" s="1"/>
  <c r="H17" i="3" s="1"/>
  <c r="L4" i="3"/>
  <c r="F4" i="3" s="1"/>
  <c r="L5" i="3"/>
  <c r="F5" i="3" s="1"/>
  <c r="H5" i="3" s="1"/>
  <c r="L6" i="3"/>
  <c r="F6" i="3" s="1"/>
  <c r="H6" i="3" s="1"/>
  <c r="L7" i="3"/>
  <c r="F7" i="3" s="1"/>
  <c r="L8" i="3"/>
  <c r="F8" i="3" s="1"/>
  <c r="L9" i="3"/>
  <c r="F9" i="3" s="1"/>
  <c r="L10" i="3"/>
  <c r="F10" i="3" s="1"/>
  <c r="L11" i="3"/>
  <c r="F11" i="3" s="1"/>
  <c r="L12" i="3"/>
  <c r="F12" i="3" s="1"/>
  <c r="L13" i="3"/>
  <c r="F13" i="3" s="1"/>
  <c r="L3" i="3"/>
  <c r="F3" i="3" s="1"/>
  <c r="L230" i="3"/>
  <c r="F230" i="3" s="1"/>
  <c r="H230" i="3" s="1"/>
  <c r="L231" i="3"/>
  <c r="F231" i="3" s="1"/>
  <c r="H231" i="3" s="1"/>
  <c r="L232" i="3"/>
  <c r="F232" i="3" s="1"/>
  <c r="H232" i="3" s="1"/>
  <c r="L233" i="3"/>
  <c r="F233" i="3" s="1"/>
  <c r="H233" i="3" s="1"/>
  <c r="L234" i="3"/>
  <c r="F234" i="3" s="1"/>
  <c r="H234" i="3" s="1"/>
  <c r="L235" i="3"/>
  <c r="F235" i="3" s="1"/>
  <c r="H235" i="3" s="1"/>
  <c r="L224" i="3"/>
  <c r="F224" i="3" s="1"/>
  <c r="H224" i="3" s="1"/>
  <c r="L225" i="3"/>
  <c r="F225" i="3" s="1"/>
  <c r="H225" i="3" s="1"/>
  <c r="L226" i="3"/>
  <c r="F226" i="3" s="1"/>
  <c r="H226" i="3" s="1"/>
  <c r="L227" i="3"/>
  <c r="F227" i="3" s="1"/>
  <c r="L228" i="3"/>
  <c r="F228" i="3" s="1"/>
  <c r="H228" i="3" s="1"/>
  <c r="L229" i="3"/>
  <c r="F229" i="3" s="1"/>
  <c r="H229" i="3" s="1"/>
  <c r="G30" i="5"/>
  <c r="C28" i="20" s="1"/>
  <c r="E28" i="20" s="1"/>
  <c r="J47" i="2" l="1"/>
  <c r="J57" i="2" s="1"/>
  <c r="P68" i="2" s="1"/>
  <c r="J103" i="2"/>
  <c r="J111" i="2" s="1"/>
  <c r="P134" i="2" s="1"/>
  <c r="J234" i="2"/>
  <c r="J245" i="2" s="1"/>
  <c r="J6" i="2"/>
  <c r="J178" i="2"/>
  <c r="J192" i="2" s="1"/>
  <c r="P228" i="2" s="1"/>
  <c r="H222" i="3"/>
  <c r="J73" i="2"/>
  <c r="J85" i="2" s="1"/>
  <c r="P97" i="2" s="1"/>
  <c r="H266" i="3"/>
  <c r="H267" i="3"/>
  <c r="J141" i="2"/>
  <c r="J151" i="2" s="1"/>
  <c r="P172" i="2" s="1"/>
  <c r="F267" i="3"/>
  <c r="F261" i="3"/>
  <c r="H108" i="3"/>
  <c r="H185" i="3"/>
  <c r="F268" i="3"/>
  <c r="H174" i="3"/>
  <c r="F274" i="3"/>
  <c r="H13" i="3"/>
  <c r="H275" i="3" s="1"/>
  <c r="F275" i="3"/>
  <c r="H11" i="3"/>
  <c r="F272" i="3"/>
  <c r="H9" i="3"/>
  <c r="F270" i="3"/>
  <c r="H265" i="3"/>
  <c r="F265" i="3"/>
  <c r="H18" i="3"/>
  <c r="F262" i="3"/>
  <c r="H137" i="3"/>
  <c r="H206" i="3"/>
  <c r="H12" i="3"/>
  <c r="F273" i="3"/>
  <c r="H10" i="3"/>
  <c r="F271" i="3"/>
  <c r="H8" i="3"/>
  <c r="F269" i="3"/>
  <c r="F266" i="3"/>
  <c r="H4" i="3"/>
  <c r="F264" i="3"/>
  <c r="H19" i="3"/>
  <c r="F263" i="3"/>
  <c r="H236" i="3"/>
  <c r="H57" i="3"/>
  <c r="H71" i="3"/>
  <c r="H121" i="3"/>
  <c r="H81" i="3"/>
  <c r="H147" i="3"/>
  <c r="H160" i="3"/>
  <c r="H252" i="3"/>
  <c r="H3" i="3"/>
  <c r="H93" i="3"/>
  <c r="H280" i="3" s="1"/>
  <c r="H192" i="3"/>
  <c r="F26" i="18"/>
  <c r="F10" i="18"/>
  <c r="K84" i="15"/>
  <c r="L223" i="2"/>
  <c r="L224" i="2" s="1"/>
  <c r="F288" i="2"/>
  <c r="F120" i="16"/>
  <c r="N126" i="16" s="1"/>
  <c r="J25" i="18" l="1"/>
  <c r="H268" i="3"/>
  <c r="J24" i="18"/>
  <c r="J21" i="18"/>
  <c r="L21" i="18" s="1"/>
  <c r="P230" i="2"/>
  <c r="H339" i="2" s="1"/>
  <c r="H274" i="3"/>
  <c r="J18" i="18"/>
  <c r="J22" i="18"/>
  <c r="H263" i="3"/>
  <c r="J7" i="2"/>
  <c r="H262" i="3"/>
  <c r="H269" i="3"/>
  <c r="H273" i="3"/>
  <c r="H270" i="3"/>
  <c r="H272" i="3"/>
  <c r="H271" i="3"/>
  <c r="H264" i="3"/>
  <c r="H29" i="3"/>
  <c r="H14" i="3"/>
  <c r="H176" i="3"/>
  <c r="F277" i="3"/>
  <c r="G29" i="30" l="1"/>
  <c r="G24" i="20"/>
  <c r="J10" i="2"/>
  <c r="J14" i="2"/>
  <c r="H277" i="3"/>
  <c r="D23" i="20" s="1"/>
  <c r="J12" i="2"/>
  <c r="J13" i="2"/>
  <c r="H256" i="3"/>
  <c r="J11" i="2"/>
  <c r="J9" i="2"/>
  <c r="F60" i="15"/>
  <c r="F66" i="2"/>
  <c r="J15" i="2" l="1"/>
  <c r="P27" i="2" s="1"/>
  <c r="L24" i="13"/>
  <c r="L25" i="13"/>
  <c r="L26" i="13"/>
  <c r="L18" i="13"/>
  <c r="L27" i="13"/>
  <c r="L23" i="13"/>
  <c r="K18" i="14"/>
  <c r="K19" i="14" s="1"/>
  <c r="K23" i="14"/>
  <c r="K25" i="14"/>
  <c r="K26" i="14"/>
  <c r="K27" i="14"/>
  <c r="K28" i="14"/>
  <c r="K15" i="14"/>
  <c r="K16" i="14" s="1"/>
  <c r="K29" i="14"/>
  <c r="K22" i="14"/>
  <c r="G23" i="20" l="1"/>
  <c r="G28" i="30"/>
  <c r="G40" i="30" s="1"/>
  <c r="K31" i="14"/>
  <c r="J19" i="18"/>
  <c r="G22" i="10"/>
  <c r="G4" i="10"/>
  <c r="G53" i="30" l="1"/>
  <c r="I36" i="30"/>
  <c r="I34" i="30"/>
  <c r="I32" i="30"/>
  <c r="I30" i="30"/>
  <c r="I37" i="30"/>
  <c r="I35" i="30"/>
  <c r="I33" i="30"/>
  <c r="I31" i="30"/>
  <c r="I29" i="30"/>
  <c r="I38" i="30"/>
  <c r="H4" i="10"/>
  <c r="I4" i="10" s="1"/>
  <c r="G51" i="10"/>
  <c r="H38" i="11"/>
  <c r="F69" i="15"/>
  <c r="H22" i="10"/>
  <c r="H51" i="10" s="1"/>
  <c r="F38" i="11"/>
  <c r="K63" i="15"/>
  <c r="K64" i="15"/>
  <c r="K65" i="15"/>
  <c r="K66" i="15"/>
  <c r="E5" i="20" s="1"/>
  <c r="K68" i="15"/>
  <c r="K69" i="15"/>
  <c r="K70" i="15"/>
  <c r="K71" i="15"/>
  <c r="K72" i="15"/>
  <c r="K74" i="15"/>
  <c r="K75" i="15"/>
  <c r="K77" i="15"/>
  <c r="K78" i="15"/>
  <c r="K80" i="15"/>
  <c r="K73" i="15"/>
  <c r="E6" i="4"/>
  <c r="E4" i="4" s="1"/>
  <c r="K36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20" i="15"/>
  <c r="K30" i="15"/>
  <c r="K53" i="15"/>
  <c r="K54" i="15"/>
  <c r="K55" i="15"/>
  <c r="K23" i="15"/>
  <c r="K33" i="15"/>
  <c r="K40" i="15"/>
  <c r="H69" i="15" l="1"/>
  <c r="I22" i="10"/>
  <c r="E224" i="16"/>
  <c r="L222" i="16"/>
  <c r="L223" i="16"/>
  <c r="L225" i="16"/>
  <c r="L221" i="16"/>
  <c r="L234" i="16"/>
  <c r="L235" i="16"/>
  <c r="L236" i="16"/>
  <c r="L238" i="16"/>
  <c r="L239" i="16"/>
  <c r="L240" i="16"/>
  <c r="L241" i="16"/>
  <c r="L242" i="16"/>
  <c r="L211" i="16"/>
  <c r="L244" i="16"/>
  <c r="L217" i="16"/>
  <c r="L214" i="16"/>
  <c r="L229" i="16"/>
  <c r="L246" i="16"/>
  <c r="L247" i="16"/>
  <c r="L233" i="16"/>
  <c r="D162" i="16"/>
  <c r="D174" i="16" s="1"/>
  <c r="D180" i="16"/>
  <c r="E180" i="16"/>
  <c r="E162" i="16"/>
  <c r="E174" i="16" s="1"/>
  <c r="L173" i="16"/>
  <c r="L172" i="16"/>
  <c r="L158" i="16"/>
  <c r="L159" i="16"/>
  <c r="L160" i="16"/>
  <c r="L157" i="16"/>
  <c r="I51" i="10" l="1"/>
  <c r="K51" i="10" s="1"/>
  <c r="J69" i="15"/>
  <c r="L224" i="16"/>
  <c r="F3" i="10" l="1"/>
  <c r="G3" i="10" l="1"/>
  <c r="L166" i="16"/>
  <c r="L167" i="16"/>
  <c r="L168" i="16"/>
  <c r="L169" i="16"/>
  <c r="L152" i="16"/>
  <c r="L171" i="16"/>
  <c r="L165" i="16"/>
  <c r="L92" i="16"/>
  <c r="L93" i="16"/>
  <c r="L94" i="16"/>
  <c r="L95" i="16"/>
  <c r="L91" i="16"/>
  <c r="L100" i="16"/>
  <c r="L85" i="16"/>
  <c r="L101" i="16"/>
  <c r="L102" i="16"/>
  <c r="L103" i="16"/>
  <c r="L104" i="16"/>
  <c r="L105" i="16"/>
  <c r="L106" i="16"/>
  <c r="L107" i="16"/>
  <c r="L88" i="16"/>
  <c r="L99" i="16"/>
  <c r="L26" i="16"/>
  <c r="L27" i="16"/>
  <c r="L28" i="16"/>
  <c r="L29" i="16"/>
  <c r="L25" i="16"/>
  <c r="L37" i="16"/>
  <c r="L38" i="16"/>
  <c r="L39" i="16"/>
  <c r="L40" i="16"/>
  <c r="L21" i="16"/>
  <c r="L41" i="16"/>
  <c r="L42" i="16"/>
  <c r="L33" i="16"/>
  <c r="L36" i="16"/>
  <c r="H3" i="10" l="1"/>
  <c r="F31" i="2"/>
  <c r="F32" i="2" s="1"/>
  <c r="N28" i="2" s="1"/>
  <c r="H31" i="2"/>
  <c r="I3" i="10" l="1"/>
  <c r="J32" i="2" s="1"/>
  <c r="P28" i="2" s="1"/>
  <c r="H32" i="2"/>
  <c r="O28" i="2" s="1"/>
  <c r="F5" i="2"/>
  <c r="F6" i="2"/>
  <c r="F7" i="2"/>
  <c r="F8" i="2"/>
  <c r="F9" i="2"/>
  <c r="F10" i="2"/>
  <c r="F12" i="2"/>
  <c r="F13" i="2"/>
  <c r="F14" i="2"/>
  <c r="L48" i="2"/>
  <c r="F48" i="2" s="1"/>
  <c r="L49" i="2"/>
  <c r="F49" i="2" s="1"/>
  <c r="L50" i="2"/>
  <c r="F50" i="2" s="1"/>
  <c r="L51" i="2"/>
  <c r="F51" i="2" s="1"/>
  <c r="L52" i="2"/>
  <c r="F52" i="2" s="1"/>
  <c r="L53" i="2"/>
  <c r="L54" i="2"/>
  <c r="F54" i="2" s="1"/>
  <c r="L55" i="2"/>
  <c r="F55" i="2" s="1"/>
  <c r="L56" i="2"/>
  <c r="F56" i="2" s="1"/>
  <c r="L47" i="2"/>
  <c r="F47" i="2" s="1"/>
  <c r="L74" i="2"/>
  <c r="L75" i="2"/>
  <c r="F75" i="2" s="1"/>
  <c r="L76" i="2"/>
  <c r="F76" i="2" s="1"/>
  <c r="L77" i="2"/>
  <c r="F77" i="2" s="1"/>
  <c r="L78" i="2"/>
  <c r="F78" i="2" s="1"/>
  <c r="L79" i="2"/>
  <c r="L80" i="2"/>
  <c r="F80" i="2" s="1"/>
  <c r="L81" i="2"/>
  <c r="L82" i="2"/>
  <c r="F82" i="2" s="1"/>
  <c r="L83" i="2"/>
  <c r="F83" i="2" s="1"/>
  <c r="L84" i="2"/>
  <c r="F84" i="2" s="1"/>
  <c r="L73" i="2"/>
  <c r="F73" i="2" s="1"/>
  <c r="L104" i="2"/>
  <c r="F104" i="2" s="1"/>
  <c r="L105" i="2"/>
  <c r="F105" i="2" s="1"/>
  <c r="L106" i="2"/>
  <c r="F106" i="2" s="1"/>
  <c r="L107" i="2"/>
  <c r="L108" i="2"/>
  <c r="F108" i="2" s="1"/>
  <c r="L109" i="2"/>
  <c r="F109" i="2" s="1"/>
  <c r="L110" i="2"/>
  <c r="F110" i="2" s="1"/>
  <c r="L103" i="2"/>
  <c r="F103" i="2" s="1"/>
  <c r="L140" i="2"/>
  <c r="L141" i="2"/>
  <c r="F141" i="2" s="1"/>
  <c r="L142" i="2"/>
  <c r="F142" i="2" s="1"/>
  <c r="L143" i="2"/>
  <c r="F143" i="2" s="1"/>
  <c r="L144" i="2"/>
  <c r="F144" i="2" s="1"/>
  <c r="L145" i="2"/>
  <c r="F145" i="2" s="1"/>
  <c r="L146" i="2"/>
  <c r="F146" i="2" s="1"/>
  <c r="L147" i="2"/>
  <c r="F147" i="2" s="1"/>
  <c r="L148" i="2"/>
  <c r="F148" i="2" s="1"/>
  <c r="L149" i="2"/>
  <c r="F149" i="2" s="1"/>
  <c r="L150" i="2"/>
  <c r="F150" i="2" s="1"/>
  <c r="L161" i="2"/>
  <c r="L179" i="2"/>
  <c r="L180" i="2"/>
  <c r="F180" i="2" s="1"/>
  <c r="L181" i="2"/>
  <c r="F181" i="2" s="1"/>
  <c r="L182" i="2"/>
  <c r="F182" i="2" s="1"/>
  <c r="L183" i="2"/>
  <c r="L184" i="2"/>
  <c r="F184" i="2" s="1"/>
  <c r="L185" i="2"/>
  <c r="F185" i="2" s="1"/>
  <c r="L186" i="2"/>
  <c r="F186" i="2" s="1"/>
  <c r="L187" i="2"/>
  <c r="F187" i="2" s="1"/>
  <c r="L188" i="2"/>
  <c r="F188" i="2" s="1"/>
  <c r="L189" i="2"/>
  <c r="F189" i="2" s="1"/>
  <c r="L190" i="2"/>
  <c r="F190" i="2" s="1"/>
  <c r="L191" i="2"/>
  <c r="F191" i="2" s="1"/>
  <c r="L178" i="2"/>
  <c r="F178" i="2" s="1"/>
  <c r="L235" i="2"/>
  <c r="F235" i="2" s="1"/>
  <c r="L236" i="2"/>
  <c r="L237" i="2"/>
  <c r="L238" i="2"/>
  <c r="F238" i="2" s="1"/>
  <c r="L239" i="2"/>
  <c r="F239" i="2" s="1"/>
  <c r="L240" i="2"/>
  <c r="F240" i="2" s="1"/>
  <c r="L241" i="2"/>
  <c r="F241" i="2" s="1"/>
  <c r="L242" i="2"/>
  <c r="F242" i="2" s="1"/>
  <c r="L243" i="2"/>
  <c r="F243" i="2" s="1"/>
  <c r="L244" i="2"/>
  <c r="F244" i="2" s="1"/>
  <c r="L234" i="2"/>
  <c r="F234" i="2" s="1"/>
  <c r="L5" i="11"/>
  <c r="F5" i="11" s="1"/>
  <c r="L293" i="2"/>
  <c r="F293" i="2" s="1"/>
  <c r="L294" i="2"/>
  <c r="F294" i="2" s="1"/>
  <c r="L295" i="2"/>
  <c r="F295" i="2" s="1"/>
  <c r="L296" i="2"/>
  <c r="L297" i="2"/>
  <c r="L298" i="2"/>
  <c r="L299" i="2"/>
  <c r="F299" i="2" s="1"/>
  <c r="L300" i="2"/>
  <c r="L301" i="2"/>
  <c r="L302" i="2"/>
  <c r="F302" i="2" s="1"/>
  <c r="L303" i="2"/>
  <c r="F303" i="2" s="1"/>
  <c r="L292" i="2"/>
  <c r="L192" i="16"/>
  <c r="F192" i="16" s="1"/>
  <c r="L193" i="16"/>
  <c r="L194" i="16"/>
  <c r="F194" i="16" s="1"/>
  <c r="L195" i="16"/>
  <c r="F195" i="16" s="1"/>
  <c r="L196" i="16"/>
  <c r="L197" i="16"/>
  <c r="F197" i="16" s="1"/>
  <c r="L198" i="16"/>
  <c r="F198" i="16" s="1"/>
  <c r="L199" i="16"/>
  <c r="F199" i="16" s="1"/>
  <c r="L200" i="16"/>
  <c r="L201" i="16"/>
  <c r="F201" i="16" s="1"/>
  <c r="L202" i="16"/>
  <c r="F202" i="16" s="1"/>
  <c r="L203" i="16"/>
  <c r="F203" i="16" s="1"/>
  <c r="L204" i="16"/>
  <c r="F204" i="16" s="1"/>
  <c r="L205" i="16"/>
  <c r="F205" i="16" s="1"/>
  <c r="L133" i="16"/>
  <c r="F133" i="16" s="1"/>
  <c r="L134" i="16"/>
  <c r="F134" i="16" s="1"/>
  <c r="L135" i="16"/>
  <c r="L136" i="16"/>
  <c r="F136" i="16" s="1"/>
  <c r="L137" i="16"/>
  <c r="F137" i="16" s="1"/>
  <c r="L138" i="16"/>
  <c r="L139" i="16"/>
  <c r="F139" i="16" s="1"/>
  <c r="L140" i="16"/>
  <c r="L141" i="16"/>
  <c r="F141" i="16" s="1"/>
  <c r="L142" i="16"/>
  <c r="F142" i="16" s="1"/>
  <c r="L143" i="16"/>
  <c r="F143" i="16" s="1"/>
  <c r="L132" i="16"/>
  <c r="F132" i="16" s="1"/>
  <c r="L63" i="16"/>
  <c r="L64" i="16"/>
  <c r="F64" i="16" s="1"/>
  <c r="L65" i="16"/>
  <c r="F65" i="16" s="1"/>
  <c r="L66" i="16"/>
  <c r="L67" i="16"/>
  <c r="L68" i="16"/>
  <c r="F68" i="16" s="1"/>
  <c r="L69" i="16"/>
  <c r="F69" i="16" s="1"/>
  <c r="L70" i="16"/>
  <c r="L71" i="16"/>
  <c r="F71" i="16" s="1"/>
  <c r="L72" i="16"/>
  <c r="L73" i="16"/>
  <c r="L74" i="16"/>
  <c r="F74" i="16" s="1"/>
  <c r="L75" i="16"/>
  <c r="F75" i="16" s="1"/>
  <c r="L62" i="16"/>
  <c r="F62" i="16" s="1"/>
  <c r="L5" i="16"/>
  <c r="L6" i="16"/>
  <c r="F6" i="16" s="1"/>
  <c r="L7" i="16"/>
  <c r="F7" i="16" s="1"/>
  <c r="L8" i="16"/>
  <c r="F8" i="16" s="1"/>
  <c r="L9" i="16"/>
  <c r="F9" i="16" s="1"/>
  <c r="L11" i="16"/>
  <c r="F11" i="16" s="1"/>
  <c r="L12" i="16"/>
  <c r="L13" i="16"/>
  <c r="F13" i="16" s="1"/>
  <c r="L14" i="16"/>
  <c r="F14" i="16" s="1"/>
  <c r="L15" i="16"/>
  <c r="F15" i="16" s="1"/>
  <c r="L16" i="16"/>
  <c r="F16" i="16" s="1"/>
  <c r="L17" i="16"/>
  <c r="F17" i="16" s="1"/>
  <c r="L4" i="16"/>
  <c r="F4" i="16" s="1"/>
  <c r="K5" i="15"/>
  <c r="F5" i="15" s="1"/>
  <c r="K6" i="15"/>
  <c r="F6" i="15" s="1"/>
  <c r="K7" i="15"/>
  <c r="F7" i="15" s="1"/>
  <c r="K8" i="15"/>
  <c r="F8" i="15" s="1"/>
  <c r="K9" i="15"/>
  <c r="F9" i="15" s="1"/>
  <c r="K10" i="15"/>
  <c r="K11" i="15"/>
  <c r="K12" i="15"/>
  <c r="F12" i="15" s="1"/>
  <c r="K13" i="15"/>
  <c r="F13" i="15" s="1"/>
  <c r="K14" i="15"/>
  <c r="F14" i="15" s="1"/>
  <c r="K15" i="15"/>
  <c r="F15" i="15" s="1"/>
  <c r="K16" i="15"/>
  <c r="F16" i="15" s="1"/>
  <c r="K17" i="15"/>
  <c r="F17" i="15" s="1"/>
  <c r="K4" i="15"/>
  <c r="F4" i="15" s="1"/>
  <c r="K6" i="14"/>
  <c r="F6" i="14" s="1"/>
  <c r="K7" i="14"/>
  <c r="F7" i="14" s="1"/>
  <c r="F8" i="14"/>
  <c r="K9" i="14"/>
  <c r="F9" i="14" s="1"/>
  <c r="K10" i="14"/>
  <c r="F10" i="14" s="1"/>
  <c r="K11" i="14"/>
  <c r="F11" i="14" s="1"/>
  <c r="K12" i="14"/>
  <c r="F12" i="14" s="1"/>
  <c r="K5" i="14"/>
  <c r="L6" i="13"/>
  <c r="F6" i="13" s="1"/>
  <c r="L7" i="13"/>
  <c r="F7" i="13" s="1"/>
  <c r="L8" i="13"/>
  <c r="F8" i="13" s="1"/>
  <c r="L9" i="13"/>
  <c r="F9" i="13" s="1"/>
  <c r="L10" i="13"/>
  <c r="F10" i="13" s="1"/>
  <c r="L11" i="13"/>
  <c r="F11" i="13" s="1"/>
  <c r="L12" i="13"/>
  <c r="F12" i="13" s="1"/>
  <c r="L13" i="13"/>
  <c r="F13" i="13" s="1"/>
  <c r="L14" i="13"/>
  <c r="F14" i="13" s="1"/>
  <c r="L5" i="13"/>
  <c r="L17" i="12"/>
  <c r="L18" i="12"/>
  <c r="F18" i="12" s="1"/>
  <c r="L19" i="12"/>
  <c r="F19" i="12" s="1"/>
  <c r="L20" i="12"/>
  <c r="F20" i="12" s="1"/>
  <c r="L21" i="12"/>
  <c r="L22" i="12"/>
  <c r="F22" i="12" s="1"/>
  <c r="L23" i="12"/>
  <c r="F23" i="12" s="1"/>
  <c r="L24" i="12"/>
  <c r="F24" i="12" s="1"/>
  <c r="L25" i="12"/>
  <c r="L26" i="12"/>
  <c r="F26" i="12" s="1"/>
  <c r="L27" i="12"/>
  <c r="F27" i="12" s="1"/>
  <c r="L28" i="12"/>
  <c r="F28" i="12" s="1"/>
  <c r="L16" i="12"/>
  <c r="F16" i="12" s="1"/>
  <c r="L6" i="11"/>
  <c r="F6" i="11" s="1"/>
  <c r="L7" i="11"/>
  <c r="F7" i="11" s="1"/>
  <c r="L8" i="11"/>
  <c r="F8" i="11" s="1"/>
  <c r="L9" i="11"/>
  <c r="F9" i="11" s="1"/>
  <c r="L10" i="11"/>
  <c r="F10" i="11" s="1"/>
  <c r="L11" i="11"/>
  <c r="F11" i="11" s="1"/>
  <c r="L12" i="11"/>
  <c r="F12" i="11" s="1"/>
  <c r="L13" i="11"/>
  <c r="F13" i="11" s="1"/>
  <c r="L14" i="11"/>
  <c r="F14" i="11" s="1"/>
  <c r="L15" i="11"/>
  <c r="F15" i="11" s="1"/>
  <c r="F5" i="14" l="1"/>
  <c r="F13" i="14" s="1"/>
  <c r="O33" i="14" s="1"/>
  <c r="K13" i="14"/>
  <c r="K19" i="18"/>
  <c r="L19" i="18" s="1"/>
  <c r="P29" i="2"/>
  <c r="O29" i="2"/>
  <c r="F334" i="2" s="1"/>
  <c r="G19" i="18"/>
  <c r="H19" i="18" s="1"/>
  <c r="F76" i="16"/>
  <c r="N125" i="16" s="1"/>
  <c r="N127" i="16" s="1"/>
  <c r="F15" i="13"/>
  <c r="N31" i="13" s="1"/>
  <c r="F17" i="11"/>
  <c r="N38" i="11" s="1"/>
  <c r="F18" i="15"/>
  <c r="O79" i="15" s="1"/>
  <c r="F192" i="2"/>
  <c r="N228" i="2" s="1"/>
  <c r="F29" i="12"/>
  <c r="F144" i="16"/>
  <c r="N186" i="16" s="1"/>
  <c r="F18" i="16"/>
  <c r="N57" i="16" s="1"/>
  <c r="N59" i="16" s="1"/>
  <c r="F206" i="16"/>
  <c r="N263" i="16" s="1"/>
  <c r="F111" i="2"/>
  <c r="N134" i="2" s="1"/>
  <c r="F85" i="2"/>
  <c r="N97" i="2" s="1"/>
  <c r="F57" i="2"/>
  <c r="N68" i="2" s="1"/>
  <c r="F151" i="2"/>
  <c r="N172" i="2" s="1"/>
  <c r="F15" i="2"/>
  <c r="N27" i="2" s="1"/>
  <c r="N29" i="2" s="1"/>
  <c r="F304" i="2"/>
  <c r="F245" i="2"/>
  <c r="L24" i="11"/>
  <c r="L25" i="11"/>
  <c r="L26" i="11"/>
  <c r="L27" i="11"/>
  <c r="L28" i="11"/>
  <c r="L29" i="11"/>
  <c r="L30" i="11"/>
  <c r="L31" i="11"/>
  <c r="L32" i="11"/>
  <c r="L33" i="11"/>
  <c r="L23" i="11"/>
  <c r="H334" i="2" l="1"/>
  <c r="G334" i="2"/>
  <c r="G342" i="2" s="1"/>
  <c r="N188" i="16"/>
  <c r="L64" i="12"/>
  <c r="L65" i="12"/>
  <c r="L66" i="12"/>
  <c r="L67" i="12"/>
  <c r="L63" i="12"/>
  <c r="F5" i="6" s="1"/>
  <c r="F44" i="6" l="1"/>
  <c r="H5" i="6"/>
  <c r="M28" i="2"/>
  <c r="C30" i="20" l="1"/>
  <c r="E30" i="20" s="1"/>
  <c r="C35" i="30"/>
  <c r="H63" i="12"/>
  <c r="H68" i="12" s="1"/>
  <c r="H44" i="6"/>
  <c r="L43" i="12"/>
  <c r="L44" i="12"/>
  <c r="L45" i="12"/>
  <c r="F45" i="12" s="1"/>
  <c r="F61" i="12" s="1"/>
  <c r="N71" i="12" s="1"/>
  <c r="L46" i="12"/>
  <c r="L38" i="12"/>
  <c r="L47" i="12"/>
  <c r="L48" i="12"/>
  <c r="L49" i="12"/>
  <c r="L50" i="12"/>
  <c r="L51" i="12"/>
  <c r="L52" i="12"/>
  <c r="L53" i="12"/>
  <c r="L54" i="12"/>
  <c r="L55" i="12"/>
  <c r="L56" i="12"/>
  <c r="L57" i="12"/>
  <c r="L36" i="12"/>
  <c r="L31" i="12"/>
  <c r="L37" i="12"/>
  <c r="L58" i="12"/>
  <c r="L34" i="12"/>
  <c r="L35" i="12"/>
  <c r="L59" i="12"/>
  <c r="L60" i="12"/>
  <c r="L42" i="12"/>
  <c r="D30" i="20" l="1"/>
  <c r="D35" i="20" s="1"/>
  <c r="D35" i="30"/>
  <c r="D40" i="30" s="1"/>
  <c r="D53" i="30" s="1"/>
  <c r="E35" i="30"/>
  <c r="E40" i="30" s="1"/>
  <c r="E53" i="30" s="1"/>
  <c r="C40" i="30"/>
  <c r="C53" i="30" s="1"/>
  <c r="O71" i="12"/>
  <c r="O73" i="12" s="1"/>
  <c r="F83" i="12" s="1"/>
  <c r="D60" i="15"/>
  <c r="E60" i="15"/>
  <c r="D56" i="15"/>
  <c r="E56" i="15"/>
  <c r="D82" i="15"/>
  <c r="N80" i="15" s="1"/>
  <c r="E82" i="15"/>
  <c r="D75" i="12"/>
  <c r="M72" i="12" s="1"/>
  <c r="E75" i="12"/>
  <c r="D68" i="12"/>
  <c r="E68" i="12"/>
  <c r="D61" i="12"/>
  <c r="E61" i="12"/>
  <c r="D13" i="12"/>
  <c r="E13" i="12"/>
  <c r="F13" i="12"/>
  <c r="E9" i="12"/>
  <c r="F9" i="12"/>
  <c r="N72" i="12" s="1"/>
  <c r="D9" i="12"/>
  <c r="D6" i="12"/>
  <c r="E6" i="12"/>
  <c r="F6" i="12"/>
  <c r="N324" i="2"/>
  <c r="C23" i="18" s="1"/>
  <c r="D231" i="2"/>
  <c r="M229" i="2" s="1"/>
  <c r="D198" i="2"/>
  <c r="D210" i="2"/>
  <c r="D192" i="2"/>
  <c r="D175" i="2"/>
  <c r="M173" i="2" s="1"/>
  <c r="D155" i="2"/>
  <c r="D136" i="2"/>
  <c r="M135" i="2" s="1"/>
  <c r="L120" i="2"/>
  <c r="D118" i="2"/>
  <c r="D131" i="2"/>
  <c r="D100" i="2"/>
  <c r="M98" i="2" s="1"/>
  <c r="F13" i="18" l="1"/>
  <c r="H13" i="18"/>
  <c r="F15" i="18"/>
  <c r="F40" i="18" s="1"/>
  <c r="M228" i="2"/>
  <c r="M230" i="2" s="1"/>
  <c r="C339" i="2" s="1"/>
  <c r="D96" i="2"/>
  <c r="D85" i="2"/>
  <c r="D69" i="2"/>
  <c r="M69" i="2" s="1"/>
  <c r="D66" i="2"/>
  <c r="C19" i="18"/>
  <c r="D32" i="2"/>
  <c r="H40" i="18" l="1"/>
  <c r="M97" i="2"/>
  <c r="M99" i="2" s="1"/>
  <c r="C336" i="2" s="1"/>
  <c r="B21" i="18"/>
  <c r="B24" i="18"/>
  <c r="F274" i="2"/>
  <c r="F275" i="2" s="1"/>
  <c r="N287" i="2" s="1"/>
  <c r="D325" i="2"/>
  <c r="M324" i="2" s="1"/>
  <c r="D311" i="2"/>
  <c r="D321" i="2"/>
  <c r="D304" i="2"/>
  <c r="D63" i="2"/>
  <c r="D57" i="2"/>
  <c r="F44" i="2"/>
  <c r="D44" i="2"/>
  <c r="M42" i="2" s="1"/>
  <c r="D15" i="2"/>
  <c r="L163" i="2"/>
  <c r="L164" i="2"/>
  <c r="L165" i="2"/>
  <c r="L166" i="2"/>
  <c r="L167" i="2"/>
  <c r="L168" i="2"/>
  <c r="L158" i="2"/>
  <c r="L169" i="2"/>
  <c r="L162" i="2"/>
  <c r="D170" i="2"/>
  <c r="D151" i="2"/>
  <c r="E79" i="4"/>
  <c r="L195" i="2"/>
  <c r="L196" i="2"/>
  <c r="L197" i="2"/>
  <c r="L194" i="2"/>
  <c r="L206" i="2"/>
  <c r="L207" i="2"/>
  <c r="L201" i="2"/>
  <c r="L208" i="2"/>
  <c r="L209" i="2"/>
  <c r="L121" i="2"/>
  <c r="L122" i="2"/>
  <c r="L123" i="2"/>
  <c r="L124" i="2"/>
  <c r="L125" i="2"/>
  <c r="L114" i="2"/>
  <c r="D126" i="2"/>
  <c r="D111" i="2"/>
  <c r="L260" i="2"/>
  <c r="L259" i="2"/>
  <c r="L272" i="2"/>
  <c r="O271" i="2"/>
  <c r="L271" i="2"/>
  <c r="L265" i="2"/>
  <c r="N265" i="2" s="1"/>
  <c r="L266" i="2"/>
  <c r="L267" i="2"/>
  <c r="L268" i="2"/>
  <c r="L269" i="2"/>
  <c r="L270" i="2"/>
  <c r="L255" i="2"/>
  <c r="L273" i="2"/>
  <c r="L274" i="2"/>
  <c r="L264" i="2"/>
  <c r="M172" i="2" l="1"/>
  <c r="M174" i="2" s="1"/>
  <c r="C338" i="2" s="1"/>
  <c r="M68" i="2"/>
  <c r="M70" i="2" s="1"/>
  <c r="C335" i="2" s="1"/>
  <c r="B20" i="18"/>
  <c r="M325" i="2"/>
  <c r="C341" i="2" s="1"/>
  <c r="M27" i="2"/>
  <c r="M29" i="2" s="1"/>
  <c r="C334" i="2" s="1"/>
  <c r="M134" i="2"/>
  <c r="M136" i="2" s="1"/>
  <c r="C337" i="2" s="1"/>
  <c r="M43" i="2"/>
  <c r="N42" i="2"/>
  <c r="B22" i="18"/>
  <c r="D334" i="2" l="1"/>
  <c r="B18" i="18"/>
  <c r="B25" i="18"/>
  <c r="N325" i="2"/>
  <c r="D341" i="2" s="1"/>
  <c r="B23" i="18"/>
  <c r="E35" i="14"/>
  <c r="D35" i="14"/>
  <c r="N34" i="14" s="1"/>
  <c r="E19" i="14"/>
  <c r="D19" i="14"/>
  <c r="E31" i="14"/>
  <c r="D31" i="14"/>
  <c r="E13" i="14"/>
  <c r="D13" i="14"/>
  <c r="E33" i="13"/>
  <c r="D33" i="13"/>
  <c r="M32" i="13" s="1"/>
  <c r="E28" i="13"/>
  <c r="D28" i="13"/>
  <c r="E15" i="13"/>
  <c r="D15" i="13"/>
  <c r="E40" i="11"/>
  <c r="D40" i="11"/>
  <c r="M39" i="11" s="1"/>
  <c r="E35" i="11"/>
  <c r="D35" i="11"/>
  <c r="E17" i="11"/>
  <c r="D17" i="11"/>
  <c r="D289" i="2"/>
  <c r="M288" i="2" s="1"/>
  <c r="L261" i="2"/>
  <c r="D261" i="2"/>
  <c r="D275" i="2" s="1"/>
  <c r="L275" i="2" s="1"/>
  <c r="D245" i="2"/>
  <c r="E266" i="16"/>
  <c r="D266" i="16"/>
  <c r="M264" i="16" s="1"/>
  <c r="E226" i="16"/>
  <c r="E249" i="16" s="1"/>
  <c r="D226" i="16"/>
  <c r="D249" i="16" s="1"/>
  <c r="E189" i="16"/>
  <c r="C32" i="18"/>
  <c r="D189" i="16"/>
  <c r="M187" i="16" s="1"/>
  <c r="D59" i="16"/>
  <c r="M58" i="16" s="1"/>
  <c r="E45" i="16"/>
  <c r="E129" i="16"/>
  <c r="C31" i="18"/>
  <c r="M126" i="16"/>
  <c r="E115" i="16"/>
  <c r="D115" i="16"/>
  <c r="E96" i="16"/>
  <c r="D96" i="16"/>
  <c r="E59" i="16"/>
  <c r="C29" i="18"/>
  <c r="E30" i="16"/>
  <c r="D30" i="16"/>
  <c r="D45" i="16"/>
  <c r="M31" i="13" l="1"/>
  <c r="M33" i="13" s="1"/>
  <c r="C40" i="13" s="1"/>
  <c r="B19" i="18"/>
  <c r="D19" i="18" s="1"/>
  <c r="N33" i="14"/>
  <c r="N35" i="14" s="1"/>
  <c r="C44" i="14" s="1"/>
  <c r="M38" i="11"/>
  <c r="M40" i="11" s="1"/>
  <c r="C48" i="11" s="1"/>
  <c r="M287" i="2"/>
  <c r="M289" i="2" s="1"/>
  <c r="C340" i="2" s="1"/>
  <c r="C342" i="2" s="1"/>
  <c r="D23" i="18"/>
  <c r="D206" i="16"/>
  <c r="E206" i="16"/>
  <c r="D144" i="16"/>
  <c r="M186" i="16" s="1"/>
  <c r="M188" i="16" s="1"/>
  <c r="C276" i="16" s="1"/>
  <c r="E144" i="16"/>
  <c r="D76" i="16"/>
  <c r="M125" i="16" s="1"/>
  <c r="M127" i="16" s="1"/>
  <c r="C275" i="16" s="1"/>
  <c r="E76" i="16"/>
  <c r="D18" i="16"/>
  <c r="M57" i="16" s="1"/>
  <c r="M59" i="16" s="1"/>
  <c r="C274" i="16" s="1"/>
  <c r="E18" i="16"/>
  <c r="D18" i="15"/>
  <c r="N79" i="15" s="1"/>
  <c r="N82" i="15" s="1"/>
  <c r="C94" i="15" s="1"/>
  <c r="E18" i="15"/>
  <c r="E29" i="12"/>
  <c r="D29" i="12"/>
  <c r="M71" i="12" s="1"/>
  <c r="M73" i="12" s="1"/>
  <c r="C83" i="12" s="1"/>
  <c r="B26" i="18" l="1"/>
  <c r="M263" i="16"/>
  <c r="M265" i="16" s="1"/>
  <c r="C277" i="16" s="1"/>
  <c r="C278" i="16" s="1"/>
  <c r="B9" i="18"/>
  <c r="B8" i="18"/>
  <c r="B7" i="18"/>
  <c r="B30" i="18"/>
  <c r="B32" i="18"/>
  <c r="B31" i="18"/>
  <c r="D31" i="18" s="1"/>
  <c r="D274" i="16" l="1"/>
  <c r="B29" i="18"/>
  <c r="D29" i="18" s="1"/>
  <c r="B13" i="18"/>
  <c r="D32" i="18"/>
  <c r="B10" i="18"/>
  <c r="D276" i="16"/>
  <c r="D275" i="16"/>
  <c r="B33" i="18" l="1"/>
  <c r="F9" i="10" l="1"/>
  <c r="G9" i="10" s="1"/>
  <c r="H9" i="10" s="1"/>
  <c r="H135" i="2" l="1"/>
  <c r="F135" i="2"/>
  <c r="D57" i="10"/>
  <c r="F22" i="10" l="1"/>
  <c r="F4" i="10"/>
  <c r="E51" i="10"/>
  <c r="F30" i="10"/>
  <c r="F36" i="10"/>
  <c r="G36" i="10" s="1"/>
  <c r="F38" i="10"/>
  <c r="F39" i="10"/>
  <c r="G39" i="10" s="1"/>
  <c r="H39" i="10" s="1"/>
  <c r="F53" i="10"/>
  <c r="E61" i="10"/>
  <c r="F31" i="10"/>
  <c r="F35" i="10"/>
  <c r="G35" i="10" s="1"/>
  <c r="F18" i="10"/>
  <c r="F34" i="10"/>
  <c r="G34" i="10" s="1"/>
  <c r="H34" i="10" s="1"/>
  <c r="F27" i="10"/>
  <c r="G27" i="10" s="1"/>
  <c r="F20" i="10"/>
  <c r="G20" i="10" s="1"/>
  <c r="H20" i="10" s="1"/>
  <c r="F21" i="10"/>
  <c r="G21" i="10" s="1"/>
  <c r="F10" i="10"/>
  <c r="G10" i="10" s="1"/>
  <c r="F19" i="10"/>
  <c r="F17" i="10"/>
  <c r="G17" i="10" s="1"/>
  <c r="F15" i="10"/>
  <c r="F13" i="10"/>
  <c r="G13" i="10" s="1"/>
  <c r="F11" i="10"/>
  <c r="G11" i="10" s="1"/>
  <c r="F8" i="10"/>
  <c r="G8" i="10" s="1"/>
  <c r="F7" i="10"/>
  <c r="G7" i="10" s="1"/>
  <c r="F6" i="10"/>
  <c r="G6" i="10" s="1"/>
  <c r="F5" i="10"/>
  <c r="D61" i="10"/>
  <c r="D59" i="10"/>
  <c r="D58" i="10"/>
  <c r="D54" i="10"/>
  <c r="D52" i="10"/>
  <c r="D51" i="10"/>
  <c r="D50" i="10"/>
  <c r="H10" i="10" l="1"/>
  <c r="I10" i="10" s="1"/>
  <c r="G52" i="10"/>
  <c r="F50" i="10"/>
  <c r="G15" i="10"/>
  <c r="H15" i="10" s="1"/>
  <c r="I15" i="10" s="1"/>
  <c r="H31" i="13"/>
  <c r="H286" i="2"/>
  <c r="H185" i="16"/>
  <c r="F99" i="2"/>
  <c r="F100" i="2" s="1"/>
  <c r="N98" i="2" s="1"/>
  <c r="H7" i="10"/>
  <c r="F134" i="2"/>
  <c r="N135" i="2" s="1"/>
  <c r="C22" i="18" s="1"/>
  <c r="D22" i="18" s="1"/>
  <c r="H8" i="10"/>
  <c r="G61" i="10"/>
  <c r="H35" i="10"/>
  <c r="H61" i="10" s="1"/>
  <c r="F263" i="16"/>
  <c r="H263" i="16"/>
  <c r="F34" i="14"/>
  <c r="F35" i="14" s="1"/>
  <c r="O34" i="14" s="1"/>
  <c r="O35" i="14" s="1"/>
  <c r="H17" i="10"/>
  <c r="F32" i="13"/>
  <c r="H11" i="10"/>
  <c r="F58" i="16"/>
  <c r="F59" i="16" s="1"/>
  <c r="H27" i="10"/>
  <c r="H57" i="10" s="1"/>
  <c r="F68" i="15"/>
  <c r="F82" i="15" s="1"/>
  <c r="O80" i="15" s="1"/>
  <c r="C14" i="18" s="1"/>
  <c r="H21" i="10"/>
  <c r="I21" i="10" s="1"/>
  <c r="J68" i="15" s="1"/>
  <c r="Q80" i="15" s="1"/>
  <c r="F68" i="2"/>
  <c r="F69" i="2" s="1"/>
  <c r="N69" i="2" s="1"/>
  <c r="H6" i="10"/>
  <c r="F174" i="2"/>
  <c r="F175" i="2" s="1"/>
  <c r="N173" i="2" s="1"/>
  <c r="C18" i="18" s="1"/>
  <c r="H13" i="10"/>
  <c r="F260" i="16"/>
  <c r="H36" i="10"/>
  <c r="G5" i="10"/>
  <c r="F31" i="13"/>
  <c r="G57" i="10"/>
  <c r="F59" i="10"/>
  <c r="G31" i="10"/>
  <c r="F54" i="10"/>
  <c r="G18" i="10"/>
  <c r="G54" i="10" s="1"/>
  <c r="F52" i="10"/>
  <c r="F51" i="10"/>
  <c r="F57" i="10"/>
  <c r="F61" i="10"/>
  <c r="K14" i="18" l="1"/>
  <c r="Q82" i="15"/>
  <c r="H94" i="15" s="1"/>
  <c r="F228" i="2"/>
  <c r="F231" i="2" s="1"/>
  <c r="N229" i="2" s="1"/>
  <c r="N230" i="2" s="1"/>
  <c r="D339" i="2" s="1"/>
  <c r="G50" i="10"/>
  <c r="H52" i="10"/>
  <c r="H5" i="10"/>
  <c r="H260" i="16"/>
  <c r="H266" i="16" s="1"/>
  <c r="I36" i="10"/>
  <c r="I52" i="10" s="1"/>
  <c r="K52" i="10" s="1"/>
  <c r="H174" i="2"/>
  <c r="H175" i="2" s="1"/>
  <c r="O173" i="2" s="1"/>
  <c r="I13" i="10"/>
  <c r="J175" i="2" s="1"/>
  <c r="P173" i="2" s="1"/>
  <c r="H68" i="2"/>
  <c r="H69" i="2" s="1"/>
  <c r="O69" i="2" s="1"/>
  <c r="G25" i="18" s="1"/>
  <c r="H25" i="18" s="1"/>
  <c r="I6" i="10"/>
  <c r="J68" i="2" s="1"/>
  <c r="J69" i="2" s="1"/>
  <c r="P69" i="2" s="1"/>
  <c r="H68" i="15"/>
  <c r="H82" i="15" s="1"/>
  <c r="P80" i="15" s="1"/>
  <c r="G14" i="18" s="1"/>
  <c r="H58" i="16"/>
  <c r="H59" i="16" s="1"/>
  <c r="O58" i="16" s="1"/>
  <c r="I57" i="10"/>
  <c r="K57" i="10" s="1"/>
  <c r="H32" i="13"/>
  <c r="H33" i="13" s="1"/>
  <c r="O32" i="13" s="1"/>
  <c r="O33" i="13" s="1"/>
  <c r="I11" i="10"/>
  <c r="H34" i="14"/>
  <c r="H35" i="14" s="1"/>
  <c r="P34" i="14" s="1"/>
  <c r="I17" i="10"/>
  <c r="H186" i="16"/>
  <c r="H189" i="16" s="1"/>
  <c r="O187" i="16" s="1"/>
  <c r="G32" i="18" s="1"/>
  <c r="H32" i="18" s="1"/>
  <c r="H134" i="2"/>
  <c r="H136" i="2" s="1"/>
  <c r="I8" i="10"/>
  <c r="J134" i="2" s="1"/>
  <c r="H99" i="2"/>
  <c r="H100" i="2" s="1"/>
  <c r="O98" i="2" s="1"/>
  <c r="G24" i="18" s="1"/>
  <c r="H24" i="18" s="1"/>
  <c r="I7" i="10"/>
  <c r="J99" i="2" s="1"/>
  <c r="J100" i="2" s="1"/>
  <c r="P98" i="2" s="1"/>
  <c r="H228" i="2"/>
  <c r="H231" i="2" s="1"/>
  <c r="O229" i="2" s="1"/>
  <c r="G21" i="18" s="1"/>
  <c r="H21" i="18" s="1"/>
  <c r="F266" i="16"/>
  <c r="N264" i="16" s="1"/>
  <c r="N265" i="16" s="1"/>
  <c r="D277" i="16" s="1"/>
  <c r="D278" i="16" s="1"/>
  <c r="F33" i="13"/>
  <c r="N32" i="13" s="1"/>
  <c r="N33" i="13" s="1"/>
  <c r="D40" i="13" s="1"/>
  <c r="F136" i="2"/>
  <c r="G59" i="10"/>
  <c r="G63" i="10" s="1"/>
  <c r="H31" i="10"/>
  <c r="H59" i="10" s="1"/>
  <c r="H63" i="10" s="1"/>
  <c r="H18" i="10"/>
  <c r="H284" i="2" s="1"/>
  <c r="F39" i="11"/>
  <c r="F40" i="11" s="1"/>
  <c r="N39" i="11" s="1"/>
  <c r="E42" i="14"/>
  <c r="D44" i="14"/>
  <c r="G41" i="10"/>
  <c r="F284" i="2"/>
  <c r="F289" i="2" s="1"/>
  <c r="N288" i="2" s="1"/>
  <c r="N136" i="2"/>
  <c r="D337" i="2" s="1"/>
  <c r="N70" i="2"/>
  <c r="D335" i="2" s="1"/>
  <c r="C25" i="18"/>
  <c r="D25" i="18" s="1"/>
  <c r="N99" i="2"/>
  <c r="D336" i="2" s="1"/>
  <c r="C24" i="18"/>
  <c r="D24" i="18" s="1"/>
  <c r="N174" i="2"/>
  <c r="D338" i="2" s="1"/>
  <c r="C7" i="18"/>
  <c r="D7" i="18" s="1"/>
  <c r="D18" i="18"/>
  <c r="F63" i="10"/>
  <c r="F55" i="10"/>
  <c r="E53" i="10"/>
  <c r="D53" i="10"/>
  <c r="D55" i="10" s="1"/>
  <c r="E50" i="10"/>
  <c r="E57" i="10"/>
  <c r="E52" i="10"/>
  <c r="E58" i="10"/>
  <c r="E54" i="10"/>
  <c r="E59" i="10"/>
  <c r="E60" i="10"/>
  <c r="D60" i="10"/>
  <c r="D63" i="10" s="1"/>
  <c r="E41" i="10"/>
  <c r="F41" i="10"/>
  <c r="D41" i="10"/>
  <c r="C30" i="18" l="1"/>
  <c r="I61" i="10"/>
  <c r="K61" i="10" s="1"/>
  <c r="K15" i="18"/>
  <c r="J41" i="18" s="1"/>
  <c r="L14" i="18"/>
  <c r="L15" i="18" s="1"/>
  <c r="K25" i="18"/>
  <c r="L25" i="18" s="1"/>
  <c r="P70" i="2"/>
  <c r="H335" i="2" s="1"/>
  <c r="C21" i="18"/>
  <c r="D21" i="18" s="1"/>
  <c r="K24" i="18"/>
  <c r="L24" i="18" s="1"/>
  <c r="P99" i="2"/>
  <c r="H336" i="2" s="1"/>
  <c r="K18" i="18"/>
  <c r="P174" i="2"/>
  <c r="H338" i="2" s="1"/>
  <c r="P135" i="2"/>
  <c r="J136" i="2"/>
  <c r="P35" i="14"/>
  <c r="F44" i="14" s="1"/>
  <c r="G7" i="18"/>
  <c r="H7" i="18" s="1"/>
  <c r="O264" i="16"/>
  <c r="O265" i="16" s="1"/>
  <c r="F277" i="16" s="1"/>
  <c r="G8" i="18"/>
  <c r="H8" i="18" s="1"/>
  <c r="O230" i="2"/>
  <c r="F339" i="2" s="1"/>
  <c r="P82" i="15"/>
  <c r="F94" i="15" s="1"/>
  <c r="O70" i="2"/>
  <c r="F335" i="2" s="1"/>
  <c r="O188" i="16"/>
  <c r="F276" i="16" s="1"/>
  <c r="O99" i="2"/>
  <c r="F336" i="2" s="1"/>
  <c r="H54" i="10"/>
  <c r="I18" i="10"/>
  <c r="I5" i="10"/>
  <c r="I50" i="10" s="1"/>
  <c r="K50" i="10" s="1"/>
  <c r="H50" i="10"/>
  <c r="H39" i="11"/>
  <c r="H40" i="11" s="1"/>
  <c r="O39" i="11" s="1"/>
  <c r="G9" i="18" s="1"/>
  <c r="H9" i="18" s="1"/>
  <c r="O135" i="2"/>
  <c r="G22" i="18" s="1"/>
  <c r="H22" i="18" s="1"/>
  <c r="H124" i="16"/>
  <c r="H129" i="16" s="1"/>
  <c r="O126" i="16" s="1"/>
  <c r="G31" i="18" s="1"/>
  <c r="H31" i="18" s="1"/>
  <c r="K59" i="10"/>
  <c r="H289" i="2"/>
  <c r="O288" i="2" s="1"/>
  <c r="F40" i="13"/>
  <c r="E40" i="13"/>
  <c r="G18" i="18"/>
  <c r="H18" i="18" s="1"/>
  <c r="O174" i="2"/>
  <c r="F338" i="2" s="1"/>
  <c r="C8" i="18"/>
  <c r="D8" i="18" s="1"/>
  <c r="G15" i="18"/>
  <c r="H14" i="18"/>
  <c r="H15" i="18" s="1"/>
  <c r="H41" i="10"/>
  <c r="G29" i="18"/>
  <c r="O59" i="16"/>
  <c r="F274" i="16" s="1"/>
  <c r="G55" i="10"/>
  <c r="C15" i="20" s="1"/>
  <c r="O40" i="11"/>
  <c r="F48" i="11" s="1"/>
  <c r="C20" i="18"/>
  <c r="D20" i="18" s="1"/>
  <c r="N289" i="2"/>
  <c r="D340" i="2" s="1"/>
  <c r="D342" i="2" s="1"/>
  <c r="C9" i="18"/>
  <c r="N40" i="11"/>
  <c r="D48" i="11" s="1"/>
  <c r="C33" i="18"/>
  <c r="D30" i="18"/>
  <c r="D33" i="18" s="1"/>
  <c r="D9" i="18"/>
  <c r="F66" i="10"/>
  <c r="E55" i="10"/>
  <c r="E63" i="10"/>
  <c r="D66" i="10"/>
  <c r="D26" i="18" l="1"/>
  <c r="I63" i="10"/>
  <c r="L18" i="18"/>
  <c r="D10" i="18"/>
  <c r="C10" i="18"/>
  <c r="H55" i="10"/>
  <c r="H66" i="10" s="1"/>
  <c r="G30" i="18"/>
  <c r="H30" i="18" s="1"/>
  <c r="L22" i="18"/>
  <c r="P136" i="2"/>
  <c r="H337" i="2" s="1"/>
  <c r="I54" i="10"/>
  <c r="K54" i="10" s="1"/>
  <c r="J284" i="2"/>
  <c r="J289" i="2" s="1"/>
  <c r="O136" i="2"/>
  <c r="F337" i="2" s="1"/>
  <c r="O127" i="16"/>
  <c r="F275" i="16" s="1"/>
  <c r="F278" i="16" s="1"/>
  <c r="I41" i="10"/>
  <c r="G66" i="10"/>
  <c r="C18" i="20"/>
  <c r="E15" i="20"/>
  <c r="E18" i="20" s="1"/>
  <c r="O289" i="2"/>
  <c r="G20" i="18"/>
  <c r="H20" i="18" s="1"/>
  <c r="H26" i="18" s="1"/>
  <c r="H29" i="18"/>
  <c r="H10" i="18"/>
  <c r="G10" i="18"/>
  <c r="C26" i="18"/>
  <c r="E66" i="10"/>
  <c r="I55" i="10" l="1"/>
  <c r="H33" i="18"/>
  <c r="K20" i="18"/>
  <c r="G33" i="18"/>
  <c r="D15" i="20"/>
  <c r="D18" i="20" s="1"/>
  <c r="D48" i="20" s="1"/>
  <c r="F340" i="2"/>
  <c r="F342" i="2" s="1"/>
  <c r="I66" i="10"/>
  <c r="G15" i="20"/>
  <c r="G18" i="20" s="1"/>
  <c r="G26" i="18"/>
  <c r="F37" i="3"/>
  <c r="F38" i="3"/>
  <c r="F39" i="3"/>
  <c r="F40" i="3"/>
  <c r="F41" i="3"/>
  <c r="F42" i="3"/>
  <c r="F43" i="3"/>
  <c r="F44" i="3"/>
  <c r="F36" i="3"/>
  <c r="E5" i="8"/>
  <c r="F5" i="8"/>
  <c r="D5" i="8"/>
  <c r="E44" i="6"/>
  <c r="D44" i="6"/>
  <c r="H18" i="20" l="1"/>
  <c r="H14" i="20"/>
  <c r="H12" i="20"/>
  <c r="H10" i="20"/>
  <c r="H8" i="20"/>
  <c r="H17" i="20"/>
  <c r="H15" i="20"/>
  <c r="H13" i="20"/>
  <c r="H11" i="20"/>
  <c r="H9" i="20"/>
  <c r="H7" i="20"/>
  <c r="H16" i="20"/>
  <c r="F41" i="18"/>
  <c r="H41" i="18" s="1"/>
  <c r="H42" i="18" s="1"/>
  <c r="K26" i="18"/>
  <c r="F30" i="5"/>
  <c r="F36" i="5" s="1"/>
  <c r="G19" i="5"/>
  <c r="C27" i="20" s="1"/>
  <c r="E27" i="20" s="1"/>
  <c r="E35" i="20" s="1"/>
  <c r="E48" i="20" s="1"/>
  <c r="F19" i="5"/>
  <c r="F42" i="18" l="1"/>
  <c r="G44" i="18" s="1"/>
  <c r="L41" i="18"/>
  <c r="C35" i="20"/>
  <c r="C48" i="20" s="1"/>
  <c r="E72" i="4"/>
  <c r="E61" i="4"/>
  <c r="E90" i="4" l="1"/>
  <c r="I100" i="4"/>
  <c r="I79" i="4"/>
  <c r="I72" i="4"/>
  <c r="I61" i="4"/>
  <c r="I47" i="4"/>
  <c r="I29" i="4"/>
  <c r="I20" i="4"/>
  <c r="I10" i="4"/>
  <c r="I4" i="4"/>
  <c r="H100" i="4"/>
  <c r="C100" i="4"/>
  <c r="H79" i="4"/>
  <c r="D79" i="4"/>
  <c r="C79" i="4"/>
  <c r="D72" i="4"/>
  <c r="C72" i="4"/>
  <c r="H61" i="4"/>
  <c r="D61" i="4"/>
  <c r="C61" i="4"/>
  <c r="H47" i="4"/>
  <c r="C47" i="4"/>
  <c r="H29" i="4"/>
  <c r="D29" i="4"/>
  <c r="C29" i="4"/>
  <c r="H20" i="4"/>
  <c r="D20" i="4"/>
  <c r="C20" i="4"/>
  <c r="H10" i="4"/>
  <c r="D10" i="4"/>
  <c r="C10" i="4"/>
  <c r="H4" i="4"/>
  <c r="C4" i="4"/>
  <c r="D90" i="4" l="1"/>
  <c r="I90" i="4"/>
  <c r="H90" i="4"/>
  <c r="C90" i="4"/>
  <c r="E252" i="3" l="1"/>
  <c r="F252" i="3"/>
  <c r="D252" i="3"/>
  <c r="E236" i="3"/>
  <c r="F236" i="3"/>
  <c r="D236" i="3"/>
  <c r="E222" i="3"/>
  <c r="F222" i="3"/>
  <c r="D222" i="3"/>
  <c r="E206" i="3"/>
  <c r="F206" i="3"/>
  <c r="D206" i="3"/>
  <c r="E192" i="3"/>
  <c r="F192" i="3"/>
  <c r="D192" i="3"/>
  <c r="E176" i="3"/>
  <c r="F176" i="3"/>
  <c r="D176" i="3"/>
  <c r="E160" i="3"/>
  <c r="F160" i="3"/>
  <c r="D160" i="3"/>
  <c r="E147" i="3"/>
  <c r="F147" i="3"/>
  <c r="D147" i="3"/>
  <c r="E137" i="3"/>
  <c r="F137" i="3"/>
  <c r="D137" i="3"/>
  <c r="E121" i="3"/>
  <c r="F121" i="3"/>
  <c r="D121" i="3"/>
  <c r="E108" i="3"/>
  <c r="F108" i="3"/>
  <c r="D108" i="3"/>
  <c r="E93" i="3"/>
  <c r="F93" i="3"/>
  <c r="D93" i="3"/>
  <c r="E81" i="3"/>
  <c r="F81" i="3"/>
  <c r="D81" i="3"/>
  <c r="E71" i="3"/>
  <c r="F71" i="3"/>
  <c r="D71" i="3"/>
  <c r="E57" i="3"/>
  <c r="D57" i="3"/>
  <c r="E45" i="3"/>
  <c r="F45" i="3"/>
  <c r="D45" i="3"/>
  <c r="E34" i="3"/>
  <c r="F34" i="3"/>
  <c r="D34" i="3"/>
  <c r="E29" i="3"/>
  <c r="F29" i="3"/>
  <c r="D29" i="3"/>
  <c r="E14" i="3"/>
  <c r="F14" i="3"/>
  <c r="D14" i="3"/>
  <c r="F57" i="3"/>
  <c r="E256" i="3" l="1"/>
  <c r="E280" i="3" s="1"/>
  <c r="D256" i="3"/>
  <c r="D280" i="3" s="1"/>
  <c r="F256" i="3"/>
  <c r="F280" i="3" s="1"/>
  <c r="N73" i="12" l="1"/>
  <c r="D83" i="12" s="1"/>
  <c r="C13" i="18"/>
  <c r="C15" i="18" l="1"/>
  <c r="B41" i="18" s="1"/>
  <c r="F22" i="30" s="1"/>
  <c r="D13" i="18"/>
  <c r="F23" i="30" l="1"/>
  <c r="F24" i="30" s="1"/>
  <c r="D46" i="18"/>
  <c r="F46" i="18" s="1"/>
  <c r="F47" i="18" s="1"/>
  <c r="F17" i="20"/>
  <c r="D41" i="18"/>
  <c r="F18" i="20" l="1"/>
  <c r="O82" i="15"/>
  <c r="D94" i="15" s="1"/>
  <c r="B14" i="18"/>
  <c r="D14" i="18" s="1"/>
  <c r="D15" i="18" s="1"/>
  <c r="F19" i="20" l="1"/>
  <c r="B15" i="18"/>
  <c r="D40" i="18" l="1"/>
  <c r="D42" i="18" s="1"/>
  <c r="B40" i="18"/>
  <c r="F38" i="30" s="1"/>
  <c r="F40" i="30" s="1"/>
  <c r="F53" i="30" s="1"/>
  <c r="B52" i="18"/>
  <c r="B54" i="18" s="1"/>
  <c r="B56" i="18" s="1"/>
  <c r="F33" i="20"/>
  <c r="F35" i="20" s="1"/>
  <c r="F48" i="20" s="1"/>
  <c r="B42" i="18"/>
  <c r="C44" i="18" l="1"/>
  <c r="C49" i="18"/>
  <c r="C51" i="18" s="1"/>
  <c r="J15" i="6"/>
  <c r="G30" i="20" s="1"/>
  <c r="J19" i="14"/>
  <c r="Q33" i="14"/>
  <c r="Q35" i="14" s="1"/>
  <c r="H44" i="14" s="1"/>
  <c r="J7" i="18" l="1"/>
  <c r="L7" i="18" l="1"/>
  <c r="L10" i="18" s="1"/>
  <c r="J10" i="18"/>
  <c r="G35" i="20"/>
  <c r="J249" i="2"/>
  <c r="P287" i="2" s="1"/>
  <c r="J20" i="18" s="1"/>
  <c r="G48" i="20" l="1"/>
  <c r="H34" i="20"/>
  <c r="H32" i="20"/>
  <c r="H30" i="20"/>
  <c r="H28" i="20"/>
  <c r="H26" i="20"/>
  <c r="H24" i="20"/>
  <c r="H35" i="20"/>
  <c r="H31" i="20"/>
  <c r="H29" i="20"/>
  <c r="H27" i="20"/>
  <c r="H25" i="20"/>
  <c r="H23" i="20"/>
  <c r="H33" i="20"/>
  <c r="P289" i="2"/>
  <c r="H340" i="2" s="1"/>
  <c r="H342" i="2" s="1"/>
  <c r="L20" i="18" l="1"/>
  <c r="L26" i="18" s="1"/>
  <c r="J26" i="18"/>
  <c r="J40" i="18" s="1"/>
  <c r="J42" i="18" l="1"/>
  <c r="L40" i="18"/>
  <c r="L42" i="18" s="1"/>
  <c r="K44" i="18" l="1"/>
  <c r="D135" i="10"/>
</calcChain>
</file>

<file path=xl/comments1.xml><?xml version="1.0" encoding="utf-8"?>
<comments xmlns="http://schemas.openxmlformats.org/spreadsheetml/2006/main">
  <authors>
    <author>T Moloi</author>
    <author>TUMELO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andile to respond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Investigate
</t>
        </r>
      </text>
    </comment>
    <comment ref="F292" authorId="1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Includes the amount budgeted for Security officials
</t>
        </r>
      </text>
    </comment>
  </commentList>
</comments>
</file>

<file path=xl/comments10.xml><?xml version="1.0" encoding="utf-8"?>
<comments xmlns="http://schemas.openxmlformats.org/spreadsheetml/2006/main">
  <authors>
    <author>Fikile Mzizi</author>
  </authors>
  <commentList>
    <comment ref="E38" authorId="0">
      <text>
        <r>
          <rPr>
            <b/>
            <sz val="9"/>
            <color indexed="81"/>
            <rFont val="Tahoma"/>
            <family val="2"/>
          </rPr>
          <t>Fikile Mzizi:</t>
        </r>
        <r>
          <rPr>
            <sz val="9"/>
            <color indexed="81"/>
            <rFont val="Tahoma"/>
            <family val="2"/>
          </rPr>
          <t xml:space="preserve">
Consider shifting this budget for connection of new sites</t>
        </r>
      </text>
    </comment>
  </commentList>
</comments>
</file>

<file path=xl/comments2.xml><?xml version="1.0" encoding="utf-8"?>
<comments xmlns="http://schemas.openxmlformats.org/spreadsheetml/2006/main">
  <authors>
    <author>T Moloi</author>
  </authors>
  <commentList>
    <comment ref="J34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Discuss with community services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Discuss with Community Services
</t>
        </r>
      </text>
    </comment>
  </commentList>
</comments>
</file>

<file path=xl/comments3.xml><?xml version="1.0" encoding="utf-8"?>
<comments xmlns="http://schemas.openxmlformats.org/spreadsheetml/2006/main">
  <authors>
    <author>TUMELO</author>
  </authors>
  <commentList>
    <comment ref="J33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Check Proper calculations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Legal Expenses transferred to corporate </t>
        </r>
      </text>
    </comment>
    <comment ref="I48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check the vote number
</t>
        </r>
      </text>
    </comment>
  </commentList>
</comments>
</file>

<file path=xl/comments4.xml><?xml version="1.0" encoding="utf-8"?>
<comments xmlns="http://schemas.openxmlformats.org/spreadsheetml/2006/main">
  <authors>
    <author>TUMELO</author>
    <author>T Moloi</author>
  </authors>
  <commentList>
    <comment ref="F50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Put the budget of the department here.</t>
        </r>
      </text>
    </comment>
    <comment ref="J100" authorId="1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Investigate
</t>
        </r>
      </text>
    </comment>
    <comment ref="F114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Purchase of Bulk Meters</t>
        </r>
      </text>
    </comment>
    <comment ref="F119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Block this Vote</t>
        </r>
      </text>
    </comment>
  </commentList>
</comments>
</file>

<file path=xl/comments5.xml><?xml version="1.0" encoding="utf-8"?>
<comments xmlns="http://schemas.openxmlformats.org/spreadsheetml/2006/main">
  <authors>
    <author>T Moloi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add
</t>
        </r>
      </text>
    </comment>
  </commentList>
</comments>
</file>

<file path=xl/comments6.xml><?xml version="1.0" encoding="utf-8"?>
<comments xmlns="http://schemas.openxmlformats.org/spreadsheetml/2006/main">
  <authors>
    <author>T Moloi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T Moloi:</t>
        </r>
        <r>
          <rPr>
            <sz val="9"/>
            <color indexed="81"/>
            <rFont val="Tahoma"/>
            <family val="2"/>
          </rPr>
          <t xml:space="preserve">
Investigate
</t>
        </r>
      </text>
    </comment>
  </commentList>
</comments>
</file>

<file path=xl/comments7.xml><?xml version="1.0" encoding="utf-8"?>
<comments xmlns="http://schemas.openxmlformats.org/spreadsheetml/2006/main">
  <authors>
    <author>TUMELO</author>
  </authors>
  <commentList>
    <comment ref="D69" authorId="0">
      <text>
        <r>
          <rPr>
            <b/>
            <sz val="9"/>
            <color indexed="81"/>
            <rFont val="Tahoma"/>
            <family val="2"/>
          </rPr>
          <t>TUMELO:</t>
        </r>
        <r>
          <rPr>
            <sz val="9"/>
            <color indexed="81"/>
            <rFont val="Tahoma"/>
            <family val="2"/>
          </rPr>
          <t xml:space="preserve">
Change on the Budget of the Department
</t>
        </r>
      </text>
    </comment>
  </commentList>
</comments>
</file>

<file path=xl/comments8.xml><?xml version="1.0" encoding="utf-8"?>
<comments xmlns="http://schemas.openxmlformats.org/spreadsheetml/2006/main">
  <authors>
    <author>Fikile Mzizi</author>
  </authors>
  <commentList>
    <comment ref="E38" authorId="0">
      <text>
        <r>
          <rPr>
            <b/>
            <sz val="9"/>
            <color indexed="81"/>
            <rFont val="Tahoma"/>
            <family val="2"/>
          </rPr>
          <t>Fikile Mzizi:</t>
        </r>
        <r>
          <rPr>
            <sz val="9"/>
            <color indexed="81"/>
            <rFont val="Tahoma"/>
            <family val="2"/>
          </rPr>
          <t xml:space="preserve">
Consider shifting this budget for connection of new sites</t>
        </r>
      </text>
    </comment>
  </commentList>
</comments>
</file>

<file path=xl/comments9.xml><?xml version="1.0" encoding="utf-8"?>
<comments xmlns="http://schemas.openxmlformats.org/spreadsheetml/2006/main">
  <authors>
    <author>Fikile Mzizi</author>
  </authors>
  <commentList>
    <comment ref="E38" authorId="0">
      <text>
        <r>
          <rPr>
            <b/>
            <sz val="9"/>
            <color indexed="81"/>
            <rFont val="Tahoma"/>
            <family val="2"/>
          </rPr>
          <t>Fikile Mzizi:</t>
        </r>
        <r>
          <rPr>
            <sz val="9"/>
            <color indexed="81"/>
            <rFont val="Tahoma"/>
            <family val="2"/>
          </rPr>
          <t xml:space="preserve">
Consider shifting this budget for connection of new sites</t>
        </r>
      </text>
    </comment>
  </commentList>
</comments>
</file>

<file path=xl/sharedStrings.xml><?xml version="1.0" encoding="utf-8"?>
<sst xmlns="http://schemas.openxmlformats.org/spreadsheetml/2006/main" count="5044" uniqueCount="1156">
  <si>
    <t>!NB! YOU MUST CONVERT COLUMNS WITH AMOUNTS IN THEM TO NUMBER</t>
  </si>
  <si>
    <t>Munsoft</t>
  </si>
  <si>
    <t>Trial Balance Enquiry</t>
  </si>
  <si>
    <t>LA Code</t>
  </si>
  <si>
    <t>Dept</t>
  </si>
  <si>
    <t>Item</t>
  </si>
  <si>
    <t>Item Name</t>
  </si>
  <si>
    <t>Account Type</t>
  </si>
  <si>
    <t>Budget</t>
  </si>
  <si>
    <t>AL Debit</t>
  </si>
  <si>
    <t>AL Credit</t>
  </si>
  <si>
    <t>IE Debit</t>
  </si>
  <si>
    <t>IE Credit</t>
  </si>
  <si>
    <t>Variance</t>
  </si>
  <si>
    <t>Old Vote</t>
  </si>
  <si>
    <t>MC</t>
  </si>
  <si>
    <t>SALARIES;</t>
  </si>
  <si>
    <t>E</t>
  </si>
  <si>
    <t>0219/0001/</t>
  </si>
  <si>
    <t>MEDICAL AID CONTRIBUTION;</t>
  </si>
  <si>
    <t>0219/0006/</t>
  </si>
  <si>
    <t>OVERTIME</t>
  </si>
  <si>
    <t>PENSION FUND CONTRIBUTION;</t>
  </si>
  <si>
    <t>0219/0010/</t>
  </si>
  <si>
    <t>ACTING ALLOWANCE</t>
  </si>
  <si>
    <t>VEHICLE SUBSIDY;</t>
  </si>
  <si>
    <t>0219/0014/</t>
  </si>
  <si>
    <t>UIF;</t>
  </si>
  <si>
    <t>0219/0016/</t>
  </si>
  <si>
    <t>OTHER &amp; TELEPHONE ;</t>
  </si>
  <si>
    <t>0219/0017/</t>
  </si>
  <si>
    <t>BONUS;</t>
  </si>
  <si>
    <t>0219/0018/</t>
  </si>
  <si>
    <t>TRAINING LEVY</t>
  </si>
  <si>
    <t>SALGA;</t>
  </si>
  <si>
    <t>0219/0104/</t>
  </si>
  <si>
    <t>PROFESSIONAL FEES/CONSULTING</t>
  </si>
  <si>
    <t>0219/0193/</t>
  </si>
  <si>
    <t>TRAVELLING &amp; SUBSISTANCE;</t>
  </si>
  <si>
    <t>0219/0195/</t>
  </si>
  <si>
    <t>MARKETING &amp; PROMOTION;</t>
  </si>
  <si>
    <t>0219/0201/</t>
  </si>
  <si>
    <t>STATIONERY/PRINTING;</t>
  </si>
  <si>
    <t>0219/0204/</t>
  </si>
  <si>
    <t>DEPRECIATION</t>
  </si>
  <si>
    <t>BUILDING PLAN APPLICATIONS;</t>
  </si>
  <si>
    <t>I</t>
  </si>
  <si>
    <t>0219/8817/</t>
  </si>
  <si>
    <t>ZONING CERTIFICATE</t>
  </si>
  <si>
    <t>SUBSIDY EQUITABLE SHARE</t>
  </si>
  <si>
    <t>Dept 219</t>
  </si>
  <si>
    <t>URBAN PLANNING AND HOUSING</t>
  </si>
  <si>
    <t xml:space="preserve">Dep Totals : </t>
  </si>
  <si>
    <t>AL Total</t>
  </si>
  <si>
    <t>IE Total</t>
  </si>
  <si>
    <t>0220/0001/</t>
  </si>
  <si>
    <t>HOUSING ALLOWANCE;</t>
  </si>
  <si>
    <t>0220/0003/</t>
  </si>
  <si>
    <t>GROUP INSURANCE CONTRIBUTION</t>
  </si>
  <si>
    <t>0220/0004/</t>
  </si>
  <si>
    <t>0220/0006/</t>
  </si>
  <si>
    <t>0220/0010/</t>
  </si>
  <si>
    <t>0220/0014/</t>
  </si>
  <si>
    <t>0220/0016/</t>
  </si>
  <si>
    <t>0220/0017/</t>
  </si>
  <si>
    <t>0220/0018/</t>
  </si>
  <si>
    <t>TRAINING LEVY;</t>
  </si>
  <si>
    <t>0220/0102/</t>
  </si>
  <si>
    <t>0220/0104/</t>
  </si>
  <si>
    <t>MEMBERSHIP FEES;</t>
  </si>
  <si>
    <t>0220/0171/</t>
  </si>
  <si>
    <t>IDP DEVELOPMENT AND PRINTING</t>
  </si>
  <si>
    <t>ANNUAL REPORT DEVELPMENT&amp;PRINT</t>
  </si>
  <si>
    <t>REFRESHMENTS;</t>
  </si>
  <si>
    <t>0220/0179/</t>
  </si>
  <si>
    <t>PUBLIC EVENTS/PARTICIPATION;</t>
  </si>
  <si>
    <t>0220/0183/</t>
  </si>
  <si>
    <t>0220/0193/</t>
  </si>
  <si>
    <t>0220/0195/</t>
  </si>
  <si>
    <t>0220/0204/</t>
  </si>
  <si>
    <t>INTERNAL AUDIT RISK CAPACITY</t>
  </si>
  <si>
    <t>AUDIT COMMITTEE EXPENDITURES</t>
  </si>
  <si>
    <t>AUDIT FEES;</t>
  </si>
  <si>
    <t>0220/0253/</t>
  </si>
  <si>
    <t>MFMG</t>
  </si>
  <si>
    <t>SUBSISDY: EQUITABLE SHARE</t>
  </si>
  <si>
    <t>Dept 220</t>
  </si>
  <si>
    <t>MUNICIPAL MANAGER</t>
  </si>
  <si>
    <t>0223/0001/</t>
  </si>
  <si>
    <t>UIF</t>
  </si>
  <si>
    <t>APPROVAL OF BUILDING PLANS;</t>
  </si>
  <si>
    <t>0223/8818/</t>
  </si>
  <si>
    <t>Dept 223</t>
  </si>
  <si>
    <t>HUMAN RESOURCE</t>
  </si>
  <si>
    <t>R &amp; M LAND &amp; BUILDINGS;</t>
  </si>
  <si>
    <t>0224/0281/</t>
  </si>
  <si>
    <t>Dept 224</t>
  </si>
  <si>
    <t>PROPERTIES</t>
  </si>
  <si>
    <t>0226/0001/</t>
  </si>
  <si>
    <t>0226/0003/</t>
  </si>
  <si>
    <t>0226/0004/</t>
  </si>
  <si>
    <t>0226/0006/</t>
  </si>
  <si>
    <t>0226/0010/</t>
  </si>
  <si>
    <t>0226/0016/</t>
  </si>
  <si>
    <t>0226/0018/</t>
  </si>
  <si>
    <t>0226/0102/</t>
  </si>
  <si>
    <t>0226/0104/</t>
  </si>
  <si>
    <t>Dept 226</t>
  </si>
  <si>
    <t>LIBRARY</t>
  </si>
  <si>
    <t>SALARIES</t>
  </si>
  <si>
    <t>MEDICAL AID CONTRIBUTION</t>
  </si>
  <si>
    <t>PENSION FUND CONTRIBUTION</t>
  </si>
  <si>
    <t>VEHICLE SUBSIDY</t>
  </si>
  <si>
    <t>OTHER AND TELEPHONE</t>
  </si>
  <si>
    <t>BONUS</t>
  </si>
  <si>
    <t>SALGA</t>
  </si>
  <si>
    <t>TRAVEL AND SUBSISTANCE</t>
  </si>
  <si>
    <t>AWARENESS CAMPAIGN</t>
  </si>
  <si>
    <t>TOURISM EVENTS/SUMMITS/CONFERE</t>
  </si>
  <si>
    <t>MARKERTING AND PROMOTIONS</t>
  </si>
  <si>
    <t>TOURISM SIGNAGES</t>
  </si>
  <si>
    <t>SUBSIDY: EQUITABLE SHARE</t>
  </si>
  <si>
    <t>Dept 227</t>
  </si>
  <si>
    <t>TOURISM</t>
  </si>
  <si>
    <t>0229/0001/</t>
  </si>
  <si>
    <t>HOUSING ALLOWANCE</t>
  </si>
  <si>
    <t>0229/0010/</t>
  </si>
  <si>
    <t>MATERIAL AND STOCK</t>
  </si>
  <si>
    <t>TRAINING/CONFERENCES/SUMMITS</t>
  </si>
  <si>
    <t>0229/0182/</t>
  </si>
  <si>
    <t>PUBLIC EVENTS/PARTICIPATION</t>
  </si>
  <si>
    <t>0229/0193/</t>
  </si>
  <si>
    <t>TRAVEL AND SUBSITANCE</t>
  </si>
  <si>
    <t>LED PROJECTS</t>
  </si>
  <si>
    <t>Dept 229</t>
  </si>
  <si>
    <t>LED</t>
  </si>
  <si>
    <t>OTHER &amp; TELEPHONE</t>
  </si>
  <si>
    <t>CHEMICALS</t>
  </si>
  <si>
    <t>subsistance</t>
  </si>
  <si>
    <t>0230/0204/</t>
  </si>
  <si>
    <t>IRRIGATING SYSTEM</t>
  </si>
  <si>
    <t>EMPLOYEE ASSISTANCE</t>
  </si>
  <si>
    <t>SPORTS CAMPAIGN</t>
  </si>
  <si>
    <t>R &amp; M SPORTGROUNDS;</t>
  </si>
  <si>
    <t>0230/0272/</t>
  </si>
  <si>
    <t>UPGRADING OF IMMOVABLE ASSET</t>
  </si>
  <si>
    <t>0230/0460/</t>
  </si>
  <si>
    <t>MIG GRANT</t>
  </si>
  <si>
    <t>Dept 230</t>
  </si>
  <si>
    <t>SPORTS</t>
  </si>
  <si>
    <t>0239/0001/</t>
  </si>
  <si>
    <t>CDW STIPEND</t>
  </si>
  <si>
    <t>0239/0010/</t>
  </si>
  <si>
    <t>0239/0014/</t>
  </si>
  <si>
    <t>0239/0016/</t>
  </si>
  <si>
    <t>0239/0017/</t>
  </si>
  <si>
    <t>0239/0018/</t>
  </si>
  <si>
    <t>0239/0102/</t>
  </si>
  <si>
    <t>0239/0104/</t>
  </si>
  <si>
    <t>0239/0179/</t>
  </si>
  <si>
    <t>0239/0195/</t>
  </si>
  <si>
    <t>SPECIAL PROGRAMMES</t>
  </si>
  <si>
    <t>0239/0204/</t>
  </si>
  <si>
    <t>DONATIONS/DISASTER;</t>
  </si>
  <si>
    <t>0239/0211/</t>
  </si>
  <si>
    <t>MSIG GRANT;</t>
  </si>
  <si>
    <t>0239/8831/</t>
  </si>
  <si>
    <t>Dept 239</t>
  </si>
  <si>
    <t>OFFICE OF THE SPEAKER</t>
  </si>
  <si>
    <t>0244/0001/</t>
  </si>
  <si>
    <t>0244/0003/</t>
  </si>
  <si>
    <t>0244/0004/</t>
  </si>
  <si>
    <t>0244/0006/</t>
  </si>
  <si>
    <t>OVERTIME;</t>
  </si>
  <si>
    <t>0244/0008/</t>
  </si>
  <si>
    <t>0244/0010/</t>
  </si>
  <si>
    <t>0244/0011/</t>
  </si>
  <si>
    <t>0244/0014/</t>
  </si>
  <si>
    <t>0244/0016/</t>
  </si>
  <si>
    <t>0244/0017/</t>
  </si>
  <si>
    <t>0244/0018/</t>
  </si>
  <si>
    <t>0244/0102/</t>
  </si>
  <si>
    <t>0244/0104/</t>
  </si>
  <si>
    <t>ADVERTISMENTS- VACANCIES;</t>
  </si>
  <si>
    <t>0244/0109/</t>
  </si>
  <si>
    <t>ADVERTISMENT-TENDERS/NOTICES</t>
  </si>
  <si>
    <t>0244/0111/</t>
  </si>
  <si>
    <t>FUEL AND OIL;</t>
  </si>
  <si>
    <t>0244/0123/</t>
  </si>
  <si>
    <t>ELECTRICITY;</t>
  </si>
  <si>
    <t>0244/0135/</t>
  </si>
  <si>
    <t>LEGAL FEES : EXPENDITURE;</t>
  </si>
  <si>
    <t>0244/0172/</t>
  </si>
  <si>
    <t>LICENSES;</t>
  </si>
  <si>
    <t>0244/0173/</t>
  </si>
  <si>
    <t>MATERIAL &amp; STOCK;</t>
  </si>
  <si>
    <t>0244/0175/</t>
  </si>
  <si>
    <t>0244/0179/</t>
  </si>
  <si>
    <t>LEARNERSHIP</t>
  </si>
  <si>
    <t>TRAINING AND CONFERENCES;</t>
  </si>
  <si>
    <t>0244/0182/</t>
  </si>
  <si>
    <t>POSTAGE;</t>
  </si>
  <si>
    <t>0244/0191/</t>
  </si>
  <si>
    <t>0244/0193/</t>
  </si>
  <si>
    <t>0244/0195/</t>
  </si>
  <si>
    <t>0244/0201/</t>
  </si>
  <si>
    <t>0244/0204/</t>
  </si>
  <si>
    <t>DISINFECT/CLEANING/MATERIAL&amp;</t>
  </si>
  <si>
    <t>0244/0208/</t>
  </si>
  <si>
    <t>TELEPHONE;</t>
  </si>
  <si>
    <t>0244/0209/</t>
  </si>
  <si>
    <t>SECURITY SERVICES</t>
  </si>
  <si>
    <t>UNIFORMS;</t>
  </si>
  <si>
    <t>0244/0262/</t>
  </si>
  <si>
    <t>R &amp; M TOOLS;</t>
  </si>
  <si>
    <t>0244/0264/</t>
  </si>
  <si>
    <t>R &amp; M - FURNITURE;</t>
  </si>
  <si>
    <t>0244/0268/</t>
  </si>
  <si>
    <t>R &amp; M MACHINERY &amp; EQUIPMENT;</t>
  </si>
  <si>
    <t>0244/0278/</t>
  </si>
  <si>
    <t>0244/0281/</t>
  </si>
  <si>
    <t>R &amp; M VEHICLE;</t>
  </si>
  <si>
    <t>0244/0284/</t>
  </si>
  <si>
    <t>LEASE OF VEHICLE</t>
  </si>
  <si>
    <t>OPERATING LEASE;</t>
  </si>
  <si>
    <t>0244/0291/</t>
  </si>
  <si>
    <t>FURNITURE &amp; EQUIPMENT;</t>
  </si>
  <si>
    <t>0244/0456/</t>
  </si>
  <si>
    <t>COMPUTER EQUIPMENT;</t>
  </si>
  <si>
    <t>0244/0457/</t>
  </si>
  <si>
    <t>SUNDRIES;</t>
  </si>
  <si>
    <t>0244/8823/</t>
  </si>
  <si>
    <t>RENT : TOWNHALL;</t>
  </si>
  <si>
    <t>0244/8855/</t>
  </si>
  <si>
    <t>RENT - SITES;</t>
  </si>
  <si>
    <t>0244/8864/</t>
  </si>
  <si>
    <t>LG SETA FUNDS</t>
  </si>
  <si>
    <t>0244/8877</t>
  </si>
  <si>
    <t>LEASE OF  SPORTSGROUND;</t>
  </si>
  <si>
    <t>0244/8881/</t>
  </si>
  <si>
    <t>Dept 244</t>
  </si>
  <si>
    <t>CORPORATE SERVICE</t>
  </si>
  <si>
    <t>0245/0001/</t>
  </si>
  <si>
    <t>0245/0006/</t>
  </si>
  <si>
    <t>0245/0008/</t>
  </si>
  <si>
    <t>0245/0010/</t>
  </si>
  <si>
    <t>0245/0014/</t>
  </si>
  <si>
    <t>0245/0016/</t>
  </si>
  <si>
    <t>0245/0017/</t>
  </si>
  <si>
    <t>0245/0018/</t>
  </si>
  <si>
    <t>0245/0104/</t>
  </si>
  <si>
    <t>0245/0123/</t>
  </si>
  <si>
    <t>0245/0135/</t>
  </si>
  <si>
    <t>0245/0175/</t>
  </si>
  <si>
    <t>REFRESHMENTS</t>
  </si>
  <si>
    <t>PROFESSIONAL FEES</t>
  </si>
  <si>
    <t>0245/0195/</t>
  </si>
  <si>
    <t>0245/0204/</t>
  </si>
  <si>
    <t>0245/0208/</t>
  </si>
  <si>
    <t>CATTLE FOOD;</t>
  </si>
  <si>
    <t>0245/0225/</t>
  </si>
  <si>
    <t>0245/0278/</t>
  </si>
  <si>
    <t>0245/8855/</t>
  </si>
  <si>
    <t>Dept 245</t>
  </si>
  <si>
    <t>COMMUNITY SERVICE</t>
  </si>
  <si>
    <t>0262/0001/</t>
  </si>
  <si>
    <t>0262/0003/</t>
  </si>
  <si>
    <t>0262/0004/</t>
  </si>
  <si>
    <t>0262/0006/</t>
  </si>
  <si>
    <t>TRAVELLING ALLOWANCE;</t>
  </si>
  <si>
    <t>0262/0007/</t>
  </si>
  <si>
    <t>0262/0008/</t>
  </si>
  <si>
    <t>0262/0010/</t>
  </si>
  <si>
    <t>STAND-BY ALLOWANCE;</t>
  </si>
  <si>
    <t>0262/0013/</t>
  </si>
  <si>
    <t>0262/0014/</t>
  </si>
  <si>
    <t>0262/0016/</t>
  </si>
  <si>
    <t>0262/0017/</t>
  </si>
  <si>
    <t>0262/0018/</t>
  </si>
  <si>
    <t>0262/0102/</t>
  </si>
  <si>
    <t>0262/0104/</t>
  </si>
  <si>
    <t>0262/0123/</t>
  </si>
  <si>
    <t>0262/0175/</t>
  </si>
  <si>
    <t>0262/0195/</t>
  </si>
  <si>
    <t>GREENING PROJECT</t>
  </si>
  <si>
    <t>WATER;</t>
  </si>
  <si>
    <t>0262/0254/</t>
  </si>
  <si>
    <t>0262/0264/</t>
  </si>
  <si>
    <t>0262/0278/</t>
  </si>
  <si>
    <t>0262/0284/</t>
  </si>
  <si>
    <t>R&amp;M CEMETERY;</t>
  </si>
  <si>
    <t>0262/0299/</t>
  </si>
  <si>
    <t>PARK NTHA;</t>
  </si>
  <si>
    <t>0262/0446/</t>
  </si>
  <si>
    <t>PARK MAMAFUBEDU;</t>
  </si>
  <si>
    <t>0262/0448/</t>
  </si>
  <si>
    <t>GROEN SEBENZA</t>
  </si>
  <si>
    <t>CEMETERY PAYMENTS;</t>
  </si>
  <si>
    <t>0262/8807/</t>
  </si>
  <si>
    <t>0262/8808/</t>
  </si>
  <si>
    <t>DEA GRANT</t>
  </si>
  <si>
    <t>RENT : CARAVAAN SITES;</t>
  </si>
  <si>
    <t>0262/8860/</t>
  </si>
  <si>
    <t>CEMETRY;</t>
  </si>
  <si>
    <t>0262/8969/</t>
  </si>
  <si>
    <t>ENTRANCE FEE;</t>
  </si>
  <si>
    <t>0262/8999/</t>
  </si>
  <si>
    <t>Dept 262</t>
  </si>
  <si>
    <t>PARKS &amp; CEMETRY</t>
  </si>
  <si>
    <t>0267/0001/</t>
  </si>
  <si>
    <t>0267/0010/</t>
  </si>
  <si>
    <t>0267/0016/</t>
  </si>
  <si>
    <t>0267/0017/</t>
  </si>
  <si>
    <t>0267/0018/</t>
  </si>
  <si>
    <t>0267/0102/</t>
  </si>
  <si>
    <t>0267/0104/</t>
  </si>
  <si>
    <t>0267/0123/</t>
  </si>
  <si>
    <t>0267/0179/</t>
  </si>
  <si>
    <t>0267/0183/</t>
  </si>
  <si>
    <t>0267/0195/</t>
  </si>
  <si>
    <t>SPECIAL PROGRAMES</t>
  </si>
  <si>
    <t>0267/0204/</t>
  </si>
  <si>
    <t>BURSARIES;</t>
  </si>
  <si>
    <t>0267/0206/</t>
  </si>
  <si>
    <t>0267/0211/</t>
  </si>
  <si>
    <t>0267/0284/</t>
  </si>
  <si>
    <t>Dept 267</t>
  </si>
  <si>
    <t>OFFICE OF THE MAYOR</t>
  </si>
  <si>
    <t>0268/0001/</t>
  </si>
  <si>
    <t>0268/0004/</t>
  </si>
  <si>
    <t>0268/0006/</t>
  </si>
  <si>
    <t>0268/0008/</t>
  </si>
  <si>
    <t>0268/0010/</t>
  </si>
  <si>
    <t>0268/0013/</t>
  </si>
  <si>
    <t>0268/0016/</t>
  </si>
  <si>
    <t>0268/0018/</t>
  </si>
  <si>
    <t>0268/0102/</t>
  </si>
  <si>
    <t>0268/0104/</t>
  </si>
  <si>
    <t>BAD DEBTS WRITTEN OFF;</t>
  </si>
  <si>
    <t>0268/0117/</t>
  </si>
  <si>
    <t>0268/0123/</t>
  </si>
  <si>
    <t>DEPARTEMENTAIL USAGE</t>
  </si>
  <si>
    <t>MATERIAL &amp; STOCK</t>
  </si>
  <si>
    <t>0268/0195/</t>
  </si>
  <si>
    <t>CLEANING CAMPAIGN</t>
  </si>
  <si>
    <t>REFUSE BINS;</t>
  </si>
  <si>
    <t>0268/0249/</t>
  </si>
  <si>
    <t>REFUSE BAGS;</t>
  </si>
  <si>
    <t>0268/0251/</t>
  </si>
  <si>
    <t>MANAGEMENT OF LANDFILL SITE</t>
  </si>
  <si>
    <t>FREE BASIC CHARGE;</t>
  </si>
  <si>
    <t>0268/0256/</t>
  </si>
  <si>
    <t>0268/0262/</t>
  </si>
  <si>
    <t>0268/0278/</t>
  </si>
  <si>
    <t>0268/0284/</t>
  </si>
  <si>
    <t>CLEARING OF ILLEGAL DUMPS;</t>
  </si>
  <si>
    <t>0268/0297/</t>
  </si>
  <si>
    <t>PLANT AND EQUIPMENT</t>
  </si>
  <si>
    <t>REHABILITATION OF DISPOSABLE S</t>
  </si>
  <si>
    <t>LANDFILL SITE PETSANA</t>
  </si>
  <si>
    <t>LANDFILL SITE ARLINGTON</t>
  </si>
  <si>
    <t>A</t>
  </si>
  <si>
    <t>EPWP GRANT</t>
  </si>
  <si>
    <t>SUBSIDY:EQUITABLE SHARE</t>
  </si>
  <si>
    <t>PRIVAATVERWYDERINGS;</t>
  </si>
  <si>
    <t>0268/8950/</t>
  </si>
  <si>
    <t>GARDEN REFUSE;</t>
  </si>
  <si>
    <t>0268/9001/</t>
  </si>
  <si>
    <t>Dept 268</t>
  </si>
  <si>
    <t>REFUSE</t>
  </si>
  <si>
    <t>0274/0001/</t>
  </si>
  <si>
    <t>0274/0003/</t>
  </si>
  <si>
    <t>0274/0004/</t>
  </si>
  <si>
    <t>0274/0006/</t>
  </si>
  <si>
    <t>0274/0008/</t>
  </si>
  <si>
    <t>0274/0010/</t>
  </si>
  <si>
    <t>0274/0011/</t>
  </si>
  <si>
    <t>0274/0014/</t>
  </si>
  <si>
    <t>0274/0016/</t>
  </si>
  <si>
    <t>0274/0017/</t>
  </si>
  <si>
    <t>0274/0018/</t>
  </si>
  <si>
    <t>0274/0102/</t>
  </si>
  <si>
    <t>COMMISSION P/OFFICE P/MENTS;</t>
  </si>
  <si>
    <t>0274/0103/</t>
  </si>
  <si>
    <t>0274/0104/</t>
  </si>
  <si>
    <t>CREDIT CONTROL EXPENDITURES;</t>
  </si>
  <si>
    <t>0274/0108/</t>
  </si>
  <si>
    <t>0274/0117/</t>
  </si>
  <si>
    <t>BANK CHARGES SERVICE FEES;</t>
  </si>
  <si>
    <t>0274/0119/</t>
  </si>
  <si>
    <t>BANK CHARGES INTEREST;</t>
  </si>
  <si>
    <t>0274/0121/</t>
  </si>
  <si>
    <t>0274/0123/</t>
  </si>
  <si>
    <t>0274/0129/</t>
  </si>
  <si>
    <t>LICENSES (SOFTWARE)</t>
  </si>
  <si>
    <t>TRAINING</t>
  </si>
  <si>
    <t>0274/0191/</t>
  </si>
  <si>
    <t>0274/0193/</t>
  </si>
  <si>
    <t>0274/0195/</t>
  </si>
  <si>
    <t>REFUSE;</t>
  </si>
  <si>
    <t>0274/0197/</t>
  </si>
  <si>
    <t>SEWERAGE;</t>
  </si>
  <si>
    <t>0274/0199/</t>
  </si>
  <si>
    <t>0274/0204/</t>
  </si>
  <si>
    <t>DEPRECIATION;</t>
  </si>
  <si>
    <t>0274/0210/</t>
  </si>
  <si>
    <t>INSURANCE - GENERAL;</t>
  </si>
  <si>
    <t>0274/0235/</t>
  </si>
  <si>
    <t>REFRESHMENTS &amp; ENTERTAINMENT</t>
  </si>
  <si>
    <t>0274/0243/</t>
  </si>
  <si>
    <t>PUBLIC ENTERTAINMENT;</t>
  </si>
  <si>
    <t>0274/0244/</t>
  </si>
  <si>
    <t>PENALTY FEE</t>
  </si>
  <si>
    <t>0274/0256/</t>
  </si>
  <si>
    <t>R &amp; M OFFICE MACHINERY;</t>
  </si>
  <si>
    <t>0274/0266/</t>
  </si>
  <si>
    <t>INTEREST : EXTERNAL;</t>
  </si>
  <si>
    <t>0274/0303/</t>
  </si>
  <si>
    <t>0274/0456/</t>
  </si>
  <si>
    <t>SERVERS  UPS AND EQUIPMENTS</t>
  </si>
  <si>
    <t>INSURANCE CLAIMS;</t>
  </si>
  <si>
    <t>0274/8806/</t>
  </si>
  <si>
    <t>SALE OF DISPOSAL OF ASSETS;</t>
  </si>
  <si>
    <t>0274/8821/</t>
  </si>
  <si>
    <t>0274/8823/</t>
  </si>
  <si>
    <t>ASSESMENT RATES;</t>
  </si>
  <si>
    <t>0274/8829/</t>
  </si>
  <si>
    <t>0274/8831/</t>
  </si>
  <si>
    <t>MFMG;</t>
  </si>
  <si>
    <t>0274/8832/</t>
  </si>
  <si>
    <t>EPWP GRANT RECEIVED</t>
  </si>
  <si>
    <t>SUBSIDY: EQUITABLE SHARE;</t>
  </si>
  <si>
    <t>0274/8875/</t>
  </si>
  <si>
    <t>MIG INCOME</t>
  </si>
  <si>
    <t>INTERST OUTSTANDING P/MENTS;</t>
  </si>
  <si>
    <t>0274/8957/</t>
  </si>
  <si>
    <t>INTEREST INVESTMENT RECEIVED</t>
  </si>
  <si>
    <t>0274/8959/</t>
  </si>
  <si>
    <t>RENTE ONTVANG;</t>
  </si>
  <si>
    <t>0274/8962/</t>
  </si>
  <si>
    <t>SURPLUS KONTANT;</t>
  </si>
  <si>
    <t>0274/8973/</t>
  </si>
  <si>
    <t>CLEARANCE CERTIFICATE;</t>
  </si>
  <si>
    <t>0274/9015/</t>
  </si>
  <si>
    <t>VALUATION CERTIFICATE;</t>
  </si>
  <si>
    <t>0274/9041/</t>
  </si>
  <si>
    <t>PENALTY</t>
  </si>
  <si>
    <t>Dept 274</t>
  </si>
  <si>
    <t>DEPARTMENT OF FINANCE</t>
  </si>
  <si>
    <t>0275/0001/</t>
  </si>
  <si>
    <t>0275/0004/</t>
  </si>
  <si>
    <t>0275/0006/</t>
  </si>
  <si>
    <t>0275/0008/</t>
  </si>
  <si>
    <t>0275/0010/</t>
  </si>
  <si>
    <t>0275/0013/</t>
  </si>
  <si>
    <t>0275/0014/</t>
  </si>
  <si>
    <t>0275/0016/</t>
  </si>
  <si>
    <t>0275/0017/</t>
  </si>
  <si>
    <t>0275/0018/</t>
  </si>
  <si>
    <t>0275/0102/</t>
  </si>
  <si>
    <t>0275/0104/</t>
  </si>
  <si>
    <t>0275/0123/</t>
  </si>
  <si>
    <t>0275/0175/</t>
  </si>
  <si>
    <t>PROFESSIONAL FEES(PMU)</t>
  </si>
  <si>
    <t>0275/0195/</t>
  </si>
  <si>
    <t>0275/0204/</t>
  </si>
  <si>
    <t>STORM WATER;</t>
  </si>
  <si>
    <t>0275/0240/</t>
  </si>
  <si>
    <t>PMU</t>
  </si>
  <si>
    <t>R &amp; M  NETWORK</t>
  </si>
  <si>
    <t>0275/0284/</t>
  </si>
  <si>
    <t>R &amp; M :ROADS;</t>
  </si>
  <si>
    <t>0275/0285/</t>
  </si>
  <si>
    <t>R&amp;M SIDEWALKS;</t>
  </si>
  <si>
    <t>0275/0286/</t>
  </si>
  <si>
    <t>R&amp;M PAVED ROADS;</t>
  </si>
  <si>
    <t>0275/0293/</t>
  </si>
  <si>
    <t>R&amp;M GRAVEL ROADS;</t>
  </si>
  <si>
    <t>0275/0295/</t>
  </si>
  <si>
    <t>PAVING :NTHA;</t>
  </si>
  <si>
    <t>0275/0348/</t>
  </si>
  <si>
    <t>PAVING:MAMAFUBEDU</t>
  </si>
  <si>
    <t>PAVING:PETSANA</t>
  </si>
  <si>
    <t>PETSANA ROAD UPGRADING</t>
  </si>
  <si>
    <t>PLANT &amp; EQUIPMENT;</t>
  </si>
  <si>
    <t>0275/0461/</t>
  </si>
  <si>
    <t>DEPT SERVICE TO PUBLIC;</t>
  </si>
  <si>
    <t>0275/8822/</t>
  </si>
  <si>
    <t>Dept 275</t>
  </si>
  <si>
    <t>ROADS</t>
  </si>
  <si>
    <t>RATES REBATE;</t>
  </si>
  <si>
    <t>0276/8842/</t>
  </si>
  <si>
    <t>Dept 276</t>
  </si>
  <si>
    <t>REVENUE FOR GONE</t>
  </si>
  <si>
    <t>0281/0001/</t>
  </si>
  <si>
    <t>0281/0004/</t>
  </si>
  <si>
    <t>0281/0006/</t>
  </si>
  <si>
    <t>0281/0008/</t>
  </si>
  <si>
    <t>0281/0010/</t>
  </si>
  <si>
    <t>0281/0013/</t>
  </si>
  <si>
    <t>0281/0014/</t>
  </si>
  <si>
    <t>0281/0016/</t>
  </si>
  <si>
    <t>0281/0017/</t>
  </si>
  <si>
    <t>0281/0018/</t>
  </si>
  <si>
    <t>0281/0102/</t>
  </si>
  <si>
    <t>0281/0104/</t>
  </si>
  <si>
    <t>0281/0123/</t>
  </si>
  <si>
    <t>CHEMICALS;</t>
  </si>
  <si>
    <t>0281/0127/</t>
  </si>
  <si>
    <t>0281/0175/</t>
  </si>
  <si>
    <t>0281/0183/</t>
  </si>
  <si>
    <t>0281/0195/</t>
  </si>
  <si>
    <t>MATERIAL STOCK FOR ROAD SIGN</t>
  </si>
  <si>
    <t>0281/0196/</t>
  </si>
  <si>
    <t>0281/0262/</t>
  </si>
  <si>
    <t>0281/0278/</t>
  </si>
  <si>
    <t>0281/0284/</t>
  </si>
  <si>
    <t>FINES : TRAFFIC;</t>
  </si>
  <si>
    <t>0281/8813/</t>
  </si>
  <si>
    <t>FINES : LINDLEY;</t>
  </si>
  <si>
    <t>0281/8880/</t>
  </si>
  <si>
    <t>Dept 281</t>
  </si>
  <si>
    <t>TRAFFIC</t>
  </si>
  <si>
    <t>0290/0001/</t>
  </si>
  <si>
    <t>0290/0003/</t>
  </si>
  <si>
    <t>0290/0004/</t>
  </si>
  <si>
    <t>0290/0006/</t>
  </si>
  <si>
    <t>0290/0008/</t>
  </si>
  <si>
    <t>0290/0010/</t>
  </si>
  <si>
    <t>0290/0011/</t>
  </si>
  <si>
    <t>0290/0013/</t>
  </si>
  <si>
    <t>0290/0014/</t>
  </si>
  <si>
    <t>0290/0016/</t>
  </si>
  <si>
    <t>0290/0017/</t>
  </si>
  <si>
    <t>0290/0018/</t>
  </si>
  <si>
    <t>0290/0102/</t>
  </si>
  <si>
    <t>0290/0104/</t>
  </si>
  <si>
    <t>0290/0117/</t>
  </si>
  <si>
    <t>0290/0123/</t>
  </si>
  <si>
    <t>0290/0135/</t>
  </si>
  <si>
    <t>PURCHASES : ELECTRICITY;</t>
  </si>
  <si>
    <t>0290/0165/</t>
  </si>
  <si>
    <t>0290/0195/</t>
  </si>
  <si>
    <t>0290/0204/</t>
  </si>
  <si>
    <t>BATE - VOERTUIE;</t>
  </si>
  <si>
    <t>0290/0208/</t>
  </si>
  <si>
    <t>COMMISSION PRE-PAID ELECTRIC</t>
  </si>
  <si>
    <t>0290/0252/</t>
  </si>
  <si>
    <t>0290/0256/</t>
  </si>
  <si>
    <t>0290/0264/</t>
  </si>
  <si>
    <t>0290/0278/</t>
  </si>
  <si>
    <t>R &amp; M  NETWORK;</t>
  </si>
  <si>
    <t>0290/0280/</t>
  </si>
  <si>
    <t>R &amp; M STREETLIGHTS;</t>
  </si>
  <si>
    <t>0290/0283/</t>
  </si>
  <si>
    <t>0290/0284/</t>
  </si>
  <si>
    <t>0290/0460/</t>
  </si>
  <si>
    <t>0290/0461/</t>
  </si>
  <si>
    <t>CONNECTION OF 1001 SITES NTHA</t>
  </si>
  <si>
    <t>HIGHMAST LIGHTS;</t>
  </si>
  <si>
    <t>0290/0475/</t>
  </si>
  <si>
    <t>DEPARTMENTAL ELECTRICTY METERS</t>
  </si>
  <si>
    <t>ON AND OF CONNECTIONS;</t>
  </si>
  <si>
    <t>0290/8801/</t>
  </si>
  <si>
    <t>ESKOM ELECTRIFICATION INCOME</t>
  </si>
  <si>
    <t>0290/8822/</t>
  </si>
  <si>
    <t>SUNDRIES</t>
  </si>
  <si>
    <t>NEW CONNECTIONS;</t>
  </si>
  <si>
    <t>0290/8911/</t>
  </si>
  <si>
    <t xml:space="preserve"> ELECTRIFICATION GRANT IN NTHA</t>
  </si>
  <si>
    <t>PRIVATE USERS;</t>
  </si>
  <si>
    <t>0290/8951/</t>
  </si>
  <si>
    <t>PRE PAID KRAG;</t>
  </si>
  <si>
    <t>0290/8958/</t>
  </si>
  <si>
    <t>ELEC PRE PAY METERS;</t>
  </si>
  <si>
    <t>0290/8960/</t>
  </si>
  <si>
    <t>Dept 290</t>
  </si>
  <si>
    <t>ELECTRICITY</t>
  </si>
  <si>
    <t>0291/0001/</t>
  </si>
  <si>
    <t>0291/0004/</t>
  </si>
  <si>
    <t>0291/0006/</t>
  </si>
  <si>
    <t>0291/0008/</t>
  </si>
  <si>
    <t>0291/0010/</t>
  </si>
  <si>
    <t>0291/0013/</t>
  </si>
  <si>
    <t>0291/0016/</t>
  </si>
  <si>
    <t>0291/0018/</t>
  </si>
  <si>
    <t>0291/0102/</t>
  </si>
  <si>
    <t>0291/0104/</t>
  </si>
  <si>
    <t>0291/0117/</t>
  </si>
  <si>
    <t>0291/0123/</t>
  </si>
  <si>
    <t>0291/0127/</t>
  </si>
  <si>
    <t>0291/0135/</t>
  </si>
  <si>
    <t>0291/0175/</t>
  </si>
  <si>
    <t>0291/0195/</t>
  </si>
  <si>
    <t>0291/0256/</t>
  </si>
  <si>
    <t>0291/0262/</t>
  </si>
  <si>
    <t>R &amp; M PUMPS;</t>
  </si>
  <si>
    <t>0291/0270/</t>
  </si>
  <si>
    <t>0291/0278/</t>
  </si>
  <si>
    <t>0291/0280/</t>
  </si>
  <si>
    <t>0291/0284/</t>
  </si>
  <si>
    <t>CLEANING VIP TOILETS;</t>
  </si>
  <si>
    <t>0291/0294/</t>
  </si>
  <si>
    <t>MAMAFUBEDU RECYCLE SEWER</t>
  </si>
  <si>
    <t>UPGRADING OF REITZ WWTW</t>
  </si>
  <si>
    <t>0291/0461/</t>
  </si>
  <si>
    <t>INFRASTRUCTURE PROJECTS;</t>
  </si>
  <si>
    <t>0291/0463/</t>
  </si>
  <si>
    <t>RBIG GRANT</t>
  </si>
  <si>
    <t>0291/8950/</t>
  </si>
  <si>
    <t>SUIGPUT VERWYDERINGS;</t>
  </si>
  <si>
    <t>0291/8987/</t>
  </si>
  <si>
    <t>Dept 291</t>
  </si>
  <si>
    <t>SEWERAGE</t>
  </si>
  <si>
    <t>0293/0001/</t>
  </si>
  <si>
    <t>0293/0003/</t>
  </si>
  <si>
    <t>0293/0004/</t>
  </si>
  <si>
    <t>0293/0006/</t>
  </si>
  <si>
    <t>0293/0008/</t>
  </si>
  <si>
    <t>0293/0010/</t>
  </si>
  <si>
    <t>0293/0011/</t>
  </si>
  <si>
    <t>0293/0013/</t>
  </si>
  <si>
    <t>0293/0014/</t>
  </si>
  <si>
    <t>0293/0016/</t>
  </si>
  <si>
    <t>0293/0017/</t>
  </si>
  <si>
    <t>0293/0018/</t>
  </si>
  <si>
    <t>0293/0102/</t>
  </si>
  <si>
    <t>0293/0104/</t>
  </si>
  <si>
    <t>0293/0117/</t>
  </si>
  <si>
    <t>0293/0123/</t>
  </si>
  <si>
    <t>0293/0127/</t>
  </si>
  <si>
    <t>0293/0135/</t>
  </si>
  <si>
    <t>0293/0175/</t>
  </si>
  <si>
    <t>0293/0193/</t>
  </si>
  <si>
    <t>0293/0195/</t>
  </si>
  <si>
    <t>REPLACEMENT OF METERS;</t>
  </si>
  <si>
    <t>0293/0200/</t>
  </si>
  <si>
    <t>STATIONERY AND PRINTING</t>
  </si>
  <si>
    <t>0293/0208/</t>
  </si>
  <si>
    <t>WATER: ANALYSIS;</t>
  </si>
  <si>
    <t>0293/0255/</t>
  </si>
  <si>
    <t>0293/0256/</t>
  </si>
  <si>
    <t>PURCHASES: BULK WATER;</t>
  </si>
  <si>
    <t>0293/0257/</t>
  </si>
  <si>
    <t>R &amp; M TOOLS</t>
  </si>
  <si>
    <t>BLUE DROP EXPENDITURES</t>
  </si>
  <si>
    <t>0293/0270/</t>
  </si>
  <si>
    <t>PIPES</t>
  </si>
  <si>
    <t>0293/0278/</t>
  </si>
  <si>
    <t>0293/0280/</t>
  </si>
  <si>
    <t>0293/0284/</t>
  </si>
  <si>
    <t>LEASE OF FLEET</t>
  </si>
  <si>
    <t>UPGRADING OF REITZ PURIFICAT</t>
  </si>
  <si>
    <t>0293/0374/</t>
  </si>
  <si>
    <t>REITZ BULK WATER PIPE LINE</t>
  </si>
  <si>
    <t>SUPPLY OF WATER IN FARMS</t>
  </si>
  <si>
    <t>0293/0461/</t>
  </si>
  <si>
    <t>BOREHOLES: PETRUS STEYN &amp; ARLI</t>
  </si>
  <si>
    <t>MSIG GRANT</t>
  </si>
  <si>
    <t>RBIG</t>
  </si>
  <si>
    <t>0293/8911/</t>
  </si>
  <si>
    <t>0293/8951/</t>
  </si>
  <si>
    <t>Dept 293</t>
  </si>
  <si>
    <t>WATER</t>
  </si>
  <si>
    <t>ACCUMULATED DEPRE ON SEWERAGE</t>
  </si>
  <si>
    <t>L</t>
  </si>
  <si>
    <t>ACCUMULATED DEPRE ON WATER</t>
  </si>
  <si>
    <t>ACCUMULATED DEPRE ON ELECTRICI</t>
  </si>
  <si>
    <t>ACCUMULATED DEPRE ON ROADS</t>
  </si>
  <si>
    <t>ACCUMULATED DEP ON COUNCIL/MOV</t>
  </si>
  <si>
    <t>ACCUMULATED DEP ON INTANGIBLE</t>
  </si>
  <si>
    <t>ACCUMULATED DEP ON COMMU ASSET</t>
  </si>
  <si>
    <t>ACCUMULATED DEPR ON BUILDING</t>
  </si>
  <si>
    <t>ACCUMULATED DEPR ON INV PROPTY</t>
  </si>
  <si>
    <t>WIP (MIG)</t>
  </si>
  <si>
    <t>ASSETS BILOGICALLY NEWLY FOUND</t>
  </si>
  <si>
    <t>PPE: SEWERAGE COST;</t>
  </si>
  <si>
    <t>0301/0007/</t>
  </si>
  <si>
    <t>PPE : WATER COST;</t>
  </si>
  <si>
    <t>0301/0008/</t>
  </si>
  <si>
    <t>PPE: ELECTRICITY COST;</t>
  </si>
  <si>
    <t>0301/0009/</t>
  </si>
  <si>
    <t>PPE: PUBLIC WORKS COST;</t>
  </si>
  <si>
    <t>0301/0013/</t>
  </si>
  <si>
    <t>PPE: COUNCIL GENERAL COST;</t>
  </si>
  <si>
    <t>0301/0026/</t>
  </si>
  <si>
    <t>INTANGABLE ASSETS;</t>
  </si>
  <si>
    <t>0301/0048/</t>
  </si>
  <si>
    <t>PPE: COMMUNITY ASSETS COST;</t>
  </si>
  <si>
    <t>0301/0050/</t>
  </si>
  <si>
    <t>PPE: LAND COST;</t>
  </si>
  <si>
    <t>0301/0052/</t>
  </si>
  <si>
    <t>PPE: BUILDINGS COST;</t>
  </si>
  <si>
    <t>0301/0054/</t>
  </si>
  <si>
    <t>PPE: INVESTMENT PROPERY COST</t>
  </si>
  <si>
    <t>0301/0056/</t>
  </si>
  <si>
    <t>LANDFILL SITES</t>
  </si>
  <si>
    <t>NONE CURR ASSETS HELD FOR SALE</t>
  </si>
  <si>
    <t>Dept 301</t>
  </si>
  <si>
    <t>SALDO SOOS OP 1 JULIE</t>
  </si>
  <si>
    <t>EXTERNAL BORROWING - DBSA 2;</t>
  </si>
  <si>
    <t>0303/0081/</t>
  </si>
  <si>
    <t>EXTERNAL BORROWING: DBSA 1;</t>
  </si>
  <si>
    <t>0303/0082/</t>
  </si>
  <si>
    <t>GRAINFIELDS CHICKEN LOAN ACC</t>
  </si>
  <si>
    <t>Dept 303</t>
  </si>
  <si>
    <t>EXTERNAL BORROWINGS</t>
  </si>
  <si>
    <t>PROVISION FOR LEAVE;</t>
  </si>
  <si>
    <t>0325/0248/</t>
  </si>
  <si>
    <t>Dept 325</t>
  </si>
  <si>
    <t>HERNUWINGSFONDS</t>
  </si>
  <si>
    <t>GRG TRANSFER TO ACC SURPLUS</t>
  </si>
  <si>
    <t>Dept 405</t>
  </si>
  <si>
    <t>LENINGSDELGINGSFONDS</t>
  </si>
  <si>
    <t>LONG SERVICE AWARDS LIABILITY</t>
  </si>
  <si>
    <t>PROVISION FOR BAD DEBTS;</t>
  </si>
  <si>
    <t>0410/0325/</t>
  </si>
  <si>
    <t>POST MEDICAL AID</t>
  </si>
  <si>
    <t>PROVISION FOR SOLID WASTE</t>
  </si>
  <si>
    <t>Dept 410</t>
  </si>
  <si>
    <t>VOORSIENING &amp; RESERWES</t>
  </si>
  <si>
    <t>PETTY CASH;</t>
  </si>
  <si>
    <t>0500/0361/</t>
  </si>
  <si>
    <t>CASH FLOAT</t>
  </si>
  <si>
    <t>Dept 500</t>
  </si>
  <si>
    <t>CASH</t>
  </si>
  <si>
    <t>WATER- YEAR END 15 DAYS;</t>
  </si>
  <si>
    <t>0501/0395/</t>
  </si>
  <si>
    <t>ELECTR-YEAR END 15 DAYS;</t>
  </si>
  <si>
    <t>0501/0396/</t>
  </si>
  <si>
    <t>CONSUMER CONTROL</t>
  </si>
  <si>
    <t>0501/0417/</t>
  </si>
  <si>
    <t>Dept 501</t>
  </si>
  <si>
    <t>DEBTORS CONTROL ACCOUNT</t>
  </si>
  <si>
    <t>INVENTORY;</t>
  </si>
  <si>
    <t>0504/0451/</t>
  </si>
  <si>
    <t>INVENTORY RECEIVED;</t>
  </si>
  <si>
    <t>0504/0452/</t>
  </si>
  <si>
    <t>Dept 504</t>
  </si>
  <si>
    <t>INVENTORY</t>
  </si>
  <si>
    <t>STANDARD BANK R2MIL INVST ;</t>
  </si>
  <si>
    <t>0505/0471/</t>
  </si>
  <si>
    <t>OLD MUTUAL 5208945;</t>
  </si>
  <si>
    <t>0505/0473/</t>
  </si>
  <si>
    <t>OU MUTUAL AANDELE</t>
  </si>
  <si>
    <t>STANDARD BANK 32 DAYS CALL ACC</t>
  </si>
  <si>
    <t>MEMBERS INTEREST FUND;</t>
  </si>
  <si>
    <t>0505/0476/</t>
  </si>
  <si>
    <t>INVESTMENT  5JR 10%;</t>
  </si>
  <si>
    <t>0505/0477/</t>
  </si>
  <si>
    <t>STANDARD BANK 62 DAYS CALL ACC</t>
  </si>
  <si>
    <t>SECURITY INVESTMENTS;</t>
  </si>
  <si>
    <t>0505/0479/</t>
  </si>
  <si>
    <t>SHARE CERTIFICATE;</t>
  </si>
  <si>
    <t>0505/0480/</t>
  </si>
  <si>
    <t>CALL ACCOUNT ABSA BANK;</t>
  </si>
  <si>
    <t>0505/0487/</t>
  </si>
  <si>
    <t>ABSA FIXED DEPOSIT 206873968</t>
  </si>
  <si>
    <t>0505/0490/</t>
  </si>
  <si>
    <t>MEMBERS PREFERENCE SHARES(RES)</t>
  </si>
  <si>
    <t>CALL ACCOUNT (FNB)62335647824</t>
  </si>
  <si>
    <t>ABSA 62 DAYS SHORT TERM INVEST</t>
  </si>
  <si>
    <t>Dept 505</t>
  </si>
  <si>
    <t>SHORT TERM INVESTMENTS</t>
  </si>
  <si>
    <t>SUNDRY CREDITORS(PROV GOVRNMT)</t>
  </si>
  <si>
    <t>ACCRUALS</t>
  </si>
  <si>
    <t>OTHER CREDITOR;</t>
  </si>
  <si>
    <t>0506/0350/</t>
  </si>
  <si>
    <t>DEPOSIT FOR LAND SOLD</t>
  </si>
  <si>
    <t>ACCOUNTS PAYABLE;</t>
  </si>
  <si>
    <t>0506/0502/</t>
  </si>
  <si>
    <t>DEBTORS WITH CR BALANCES;</t>
  </si>
  <si>
    <t>0506/0503/</t>
  </si>
  <si>
    <t>DISCOUNT RECEIVED</t>
  </si>
  <si>
    <t>DEFFERED INCOME-ELECTRICITY</t>
  </si>
  <si>
    <t>Dept 506</t>
  </si>
  <si>
    <t>CREDITORS CONTROL ACCOUNT</t>
  </si>
  <si>
    <t>CONSUMER DEPOSITS;</t>
  </si>
  <si>
    <t>0508/0523/</t>
  </si>
  <si>
    <t>SUNDRY DEPOSITS ;</t>
  </si>
  <si>
    <t>0508/0524/</t>
  </si>
  <si>
    <t>DEPOSIT FOR VENDING MACHINE</t>
  </si>
  <si>
    <t>Dept 508</t>
  </si>
  <si>
    <t>DEPOSIT CONTROL ACCOUNT</t>
  </si>
  <si>
    <t>TRANSFER THROUGH DEPRECIATION</t>
  </si>
  <si>
    <t>ACCUMULATED SURPLUS/DEFICIT;</t>
  </si>
  <si>
    <t>0509/0541/</t>
  </si>
  <si>
    <t>CONSOLIDATED ACCSUPLUS/DEFICIT</t>
  </si>
  <si>
    <t>Dept 509</t>
  </si>
  <si>
    <t>ACCUMULATED SURPLUS AND DEFI</t>
  </si>
  <si>
    <t>DO NOT USE (FNB)</t>
  </si>
  <si>
    <t>0510/0563/</t>
  </si>
  <si>
    <t>Cash suspense All transfers;</t>
  </si>
  <si>
    <t>0510/0571/</t>
  </si>
  <si>
    <t>DO NOT USE (ABSA BANKTEL)</t>
  </si>
  <si>
    <t>0510/0572/</t>
  </si>
  <si>
    <t>ABSA MAIN</t>
  </si>
  <si>
    <t>0510/1562/</t>
  </si>
  <si>
    <t>ABSA BANKTEL</t>
  </si>
  <si>
    <t>0510/1572/</t>
  </si>
  <si>
    <t>Dept 510</t>
  </si>
  <si>
    <t>BANK</t>
  </si>
  <si>
    <t>ELECTRIFICATION OF NTHA TOWNSH</t>
  </si>
  <si>
    <t>BULK WATER INFRUSTRUCTURE GRAN</t>
  </si>
  <si>
    <t>MONEY RECOVERED FRM FRAUD AC</t>
  </si>
  <si>
    <t>0511/0356/</t>
  </si>
  <si>
    <t>EPWP EXPENDITURE</t>
  </si>
  <si>
    <t>SALARISSE;</t>
  </si>
  <si>
    <t>0511/0600/</t>
  </si>
  <si>
    <t>CONSUMER -REFUNDS;</t>
  </si>
  <si>
    <t>0511/0603/</t>
  </si>
  <si>
    <t>INTERBANK ACC TRANSFER (SWEEP)</t>
  </si>
  <si>
    <t>0511/0604</t>
  </si>
  <si>
    <t>MSIG ;</t>
  </si>
  <si>
    <t>0511/0631/</t>
  </si>
  <si>
    <t>SETA FUNDS</t>
  </si>
  <si>
    <t>UNKNOWN DEPOSITS;</t>
  </si>
  <si>
    <t>0511/0668/</t>
  </si>
  <si>
    <t>DEPOSITO VIR BESWARE EIEN/BE</t>
  </si>
  <si>
    <t>0511/0686/</t>
  </si>
  <si>
    <t>INEG</t>
  </si>
  <si>
    <t>FRUITLESS &amp; WASTE</t>
  </si>
  <si>
    <t>DEATH CLAIM</t>
  </si>
  <si>
    <t>0511/0851/</t>
  </si>
  <si>
    <t>SANLAM RETRENCHMENT</t>
  </si>
  <si>
    <t>Dept 511</t>
  </si>
  <si>
    <t>AFWAGREKENING</t>
  </si>
  <si>
    <t>Input Vat Vote (Vendors);</t>
  </si>
  <si>
    <t>0512/0861/</t>
  </si>
  <si>
    <t>VAT CONTROL ACCOUNT;</t>
  </si>
  <si>
    <t>0512/0862/</t>
  </si>
  <si>
    <t>Input Vat paid;</t>
  </si>
  <si>
    <t>0512/0863/</t>
  </si>
  <si>
    <t>Output Vat Paid;</t>
  </si>
  <si>
    <t>0512/0864/</t>
  </si>
  <si>
    <t>Output Vat Vote (Billing);</t>
  </si>
  <si>
    <t>0512/0865/</t>
  </si>
  <si>
    <t>Dept 512</t>
  </si>
  <si>
    <t>MIG :COMMITTED ;</t>
  </si>
  <si>
    <t>0514/1006/</t>
  </si>
  <si>
    <t>Dept 514</t>
  </si>
  <si>
    <t>OTHER DEBTORS;`</t>
  </si>
  <si>
    <t>0515/0352/</t>
  </si>
  <si>
    <t>OTHER DEBTORS;</t>
  </si>
  <si>
    <t>0515/0353/</t>
  </si>
  <si>
    <t>TRAFFIC FINES;</t>
  </si>
  <si>
    <t>0515/0354/</t>
  </si>
  <si>
    <t>DEPOSIT ESKOM</t>
  </si>
  <si>
    <t>VAT REFUNDABLE</t>
  </si>
  <si>
    <t>Dept 515</t>
  </si>
  <si>
    <t>SUSPENSE ACCOUNT</t>
  </si>
  <si>
    <t xml:space="preserve">Totals : </t>
  </si>
  <si>
    <t>TOTAL</t>
  </si>
  <si>
    <t>CAPITAL BUDGET</t>
  </si>
  <si>
    <t>SORCES OF FUNDING</t>
  </si>
  <si>
    <t>FINANCE AND ADMIN</t>
  </si>
  <si>
    <t>MIG</t>
  </si>
  <si>
    <t>OWN FUNDING</t>
  </si>
  <si>
    <t>Equipment</t>
  </si>
  <si>
    <t>Tourism Signages</t>
  </si>
  <si>
    <t>ROADS AND TRANSPORT</t>
  </si>
  <si>
    <t>Paving :Mamafubedu</t>
  </si>
  <si>
    <t>Paving : Ntha</t>
  </si>
  <si>
    <t>Paving; Petsana</t>
  </si>
  <si>
    <t>Retention for Ntha Paving</t>
  </si>
  <si>
    <t>WASTE WATER MANAGEMENT</t>
  </si>
  <si>
    <t>Mamafubedu Recycle water</t>
  </si>
  <si>
    <t>Upgrading of Reitz  Waste Water Treatment Works( WWTW)</t>
  </si>
  <si>
    <t>Leratswana Sewer Network</t>
  </si>
  <si>
    <t>Petsana provision of sanitation and toilets 502 stands</t>
  </si>
  <si>
    <t>Infrustrusructure projects</t>
  </si>
  <si>
    <t>Upgrading of Pumps/machinery and motors</t>
  </si>
  <si>
    <t>Upgrading of Reitz Purification plant</t>
  </si>
  <si>
    <t>Reitz Bulk Water Pipe Line to Petrus Steyn</t>
  </si>
  <si>
    <t>Mamafubedu to Lindley Pipeline</t>
  </si>
  <si>
    <t>Lindley to Arlington Pipeline</t>
  </si>
  <si>
    <t>Ntha/ Lindley  New Water Purification Works</t>
  </si>
  <si>
    <t>Supply of Water in Farms</t>
  </si>
  <si>
    <t>Water Meters: Petsana</t>
  </si>
  <si>
    <t>Water Meters: Ntha</t>
  </si>
  <si>
    <t>Water Meters: Mamafubedu</t>
  </si>
  <si>
    <t>Water Meters: Leratswana</t>
  </si>
  <si>
    <t>Connection of Water 1301  new sites</t>
  </si>
  <si>
    <t xml:space="preserve">Boreholes- Petrus Steyn and Arlington </t>
  </si>
  <si>
    <t>Telemetery  System</t>
  </si>
  <si>
    <t>Plant and Equipment</t>
  </si>
  <si>
    <t>Connection of 1001 new sites in Ntha</t>
  </si>
  <si>
    <t>Departmental Electricity Meters</t>
  </si>
  <si>
    <t>Petsana: 4 Highmast Lights</t>
  </si>
  <si>
    <t>Ntha: 3 Highmast Lights</t>
  </si>
  <si>
    <t>Mamafubedu: 3 Highmast Lights</t>
  </si>
  <si>
    <t>Arlington: 2 Highmast Lights</t>
  </si>
  <si>
    <t>SOLID WASTE MANAGEMENT</t>
  </si>
  <si>
    <t>Reitz: Construction of a new solid waste disposal</t>
  </si>
  <si>
    <t>Arlington: Construction of transfer station</t>
  </si>
  <si>
    <t>Waste Compactor Truck</t>
  </si>
  <si>
    <t>Leratswan Sewer Network</t>
  </si>
  <si>
    <t>Rehabilitation of Mamafubedu Disposal sites</t>
  </si>
  <si>
    <t>Upgrading of Mamafubedu Sports Complex</t>
  </si>
  <si>
    <t>Ntha: Sports Facilities</t>
  </si>
  <si>
    <t>PARKS AND CEMETERY</t>
  </si>
  <si>
    <t>Upgradig of Lindley Picnic Draai</t>
  </si>
  <si>
    <t>Purchases  of TLB</t>
  </si>
  <si>
    <t>Parks : Ntha</t>
  </si>
  <si>
    <t>DOA</t>
  </si>
  <si>
    <t>Parks: Mamafubedu</t>
  </si>
  <si>
    <t>TOTAL CAPITAL</t>
  </si>
  <si>
    <t>FUNDING OF CAPITAL PROJECTS</t>
  </si>
  <si>
    <t>Restructuring Bulk Infrastructure Grant (RBIG)</t>
  </si>
  <si>
    <t>Municipal Infrustructure Grant ( MIG)</t>
  </si>
  <si>
    <t>Intergrated National  Electrification Programme  (municipal)Grant (INEG)</t>
  </si>
  <si>
    <t>Own Revenue</t>
  </si>
  <si>
    <t>TOTAL FUNDING</t>
  </si>
  <si>
    <t>Petsana: Provision of sports facility</t>
  </si>
  <si>
    <t>Mamafubedu: Development of new Cemetery</t>
  </si>
  <si>
    <t>Balancing Figure</t>
  </si>
  <si>
    <t>Budget 2014/15</t>
  </si>
  <si>
    <t>Debt Impairtment</t>
  </si>
  <si>
    <t>Revenue to date</t>
  </si>
  <si>
    <t>Current Budget 2014/15</t>
  </si>
  <si>
    <t>Performance till February</t>
  </si>
  <si>
    <t>EMPLOYEE RELATED COST</t>
  </si>
  <si>
    <t>GENERAL EXPENDITURE</t>
  </si>
  <si>
    <t>REVENUE</t>
  </si>
  <si>
    <t>GENERAL EXPENSES</t>
  </si>
  <si>
    <t>CAPITAL EXPENSES</t>
  </si>
  <si>
    <t>EMPLOYEE REALTED COST</t>
  </si>
  <si>
    <t>REPAIRS AND MAINTENANCE</t>
  </si>
  <si>
    <t>CAPITAL</t>
  </si>
  <si>
    <t xml:space="preserve">REVENUE </t>
  </si>
  <si>
    <t>SEWER</t>
  </si>
  <si>
    <t>SURPLUS AND DEFICIT OF TECHNICAL DEPARTMENT</t>
  </si>
  <si>
    <t>=130*2800</t>
  </si>
  <si>
    <t>Front Loader</t>
  </si>
  <si>
    <t>Petsana Sports Ground</t>
  </si>
  <si>
    <t>TLB</t>
  </si>
  <si>
    <t>PARK PETSANA</t>
  </si>
  <si>
    <t>Parks: Petsana</t>
  </si>
  <si>
    <t>Professional Fees - License</t>
  </si>
  <si>
    <t>TOTAL EXPENDITURE 219</t>
  </si>
  <si>
    <t>TOTAL REVENUE           219</t>
  </si>
  <si>
    <t>TOTAL EXPENDITURE 227</t>
  </si>
  <si>
    <t>TOTAL REVENUE          227</t>
  </si>
  <si>
    <t>TOTAL EXPENDITURE 226</t>
  </si>
  <si>
    <t>TOTAL REVENUE           226</t>
  </si>
  <si>
    <t>TOTAL EXPENDITURE 229</t>
  </si>
  <si>
    <t>TOTAL REVENUE          229</t>
  </si>
  <si>
    <t>TOTAL EXPENDITURE 230</t>
  </si>
  <si>
    <t>TOTAL REVENUE          230</t>
  </si>
  <si>
    <t>TOTAL EXPENDITURE 245</t>
  </si>
  <si>
    <t>TOTAL REVENUE          245</t>
  </si>
  <si>
    <t>TOTAL EXPENDITURE 262</t>
  </si>
  <si>
    <t>TOTAL REVENUE          262</t>
  </si>
  <si>
    <t>TOTAL REVENUE          281</t>
  </si>
  <si>
    <t>TOTAL EXPENDITURE 268</t>
  </si>
  <si>
    <t>TOTAL REVENUE          268</t>
  </si>
  <si>
    <t>TOTAL EXPENDITURE 220</t>
  </si>
  <si>
    <t>TOTAL REVENUE          220</t>
  </si>
  <si>
    <t>TOTAL EXPENDITURE 244</t>
  </si>
  <si>
    <t>TOTAL REVENUE          244</t>
  </si>
  <si>
    <t>TOTAL EXPENDITURE 239</t>
  </si>
  <si>
    <t>TOTAL REVENUE          239</t>
  </si>
  <si>
    <t>TOTAL EXPENDITURE 267</t>
  </si>
  <si>
    <t>TOTAL REVENUE          267</t>
  </si>
  <si>
    <t>TOTAL EXPENDITURE 274</t>
  </si>
  <si>
    <t>TOTAL REVENUE          274</t>
  </si>
  <si>
    <t>TOTAL EXPENDITURE 293</t>
  </si>
  <si>
    <t>TOTAL REVENUE          293</t>
  </si>
  <si>
    <t>TOTAL EXPENDITURE 291</t>
  </si>
  <si>
    <t>TOTAL REVENUE          291</t>
  </si>
  <si>
    <t>TOTAL EXPENDITURE 290</t>
  </si>
  <si>
    <t>TOTAL REVENUE          290</t>
  </si>
  <si>
    <t>TOTAL EXPENDITURE 275</t>
  </si>
  <si>
    <t>TOTAL REVENUE          275</t>
  </si>
  <si>
    <t>Urban Planning</t>
  </si>
  <si>
    <t>Tourism</t>
  </si>
  <si>
    <t>Sports</t>
  </si>
  <si>
    <t>Community Services</t>
  </si>
  <si>
    <t>Parks and Cementry</t>
  </si>
  <si>
    <t>Refuse</t>
  </si>
  <si>
    <t xml:space="preserve">Traffic </t>
  </si>
  <si>
    <t>DOE</t>
  </si>
  <si>
    <t>DOE GRANT</t>
  </si>
  <si>
    <t>UPGRADING OF Lindley and Reitz Sewer Pump Station</t>
  </si>
  <si>
    <t>ACIP GRANT</t>
  </si>
  <si>
    <t>SERVERS  UPS AND EQUIPMENTS (IT)</t>
  </si>
  <si>
    <t>Development on New cementry</t>
  </si>
  <si>
    <t>COUNCIL AND ADMIN</t>
  </si>
  <si>
    <t>MAYOR</t>
  </si>
  <si>
    <t>SPEAKER</t>
  </si>
  <si>
    <t>TOTAL EXPENDITURE</t>
  </si>
  <si>
    <t>TOTAL REVENUE</t>
  </si>
  <si>
    <t>SURPLUS/DEFICIT</t>
  </si>
  <si>
    <t>CORPORATE SERVICES</t>
  </si>
  <si>
    <t>FINANCE</t>
  </si>
  <si>
    <t>COMMUNITY SERVICES</t>
  </si>
  <si>
    <t>DIRECTOR COMMUNITY SERVICES</t>
  </si>
  <si>
    <t>URBAN PLANING</t>
  </si>
  <si>
    <t>PARKS AND CEMENRY</t>
  </si>
  <si>
    <t>SPORTS AND RECREATION</t>
  </si>
  <si>
    <t>TRAFFIC AND FIRE</t>
  </si>
  <si>
    <t>INFRASTRUCTURE SERVICES</t>
  </si>
  <si>
    <t>ROADS AND STORM WATER</t>
  </si>
  <si>
    <t>WASTE WATER</t>
  </si>
  <si>
    <t>TOTAL EXPENDITURE BUDGET</t>
  </si>
  <si>
    <t>TOTAL REVENUE BUDGET</t>
  </si>
  <si>
    <t>PROPERTY RATES</t>
  </si>
  <si>
    <t>INTEREST - DEBTORS</t>
  </si>
  <si>
    <t>INTEREST - INVESTMENT</t>
  </si>
  <si>
    <t>OPERATING REVENUE</t>
  </si>
  <si>
    <t>OPERATING GRANTS</t>
  </si>
  <si>
    <t>OTHER REVENUE</t>
  </si>
  <si>
    <t>TOTAL OPERATING REVENUE</t>
  </si>
  <si>
    <t>OPERATING EXPENDITURE</t>
  </si>
  <si>
    <t>COUNCILLORS REMUNERATION</t>
  </si>
  <si>
    <t>BULK PURCHACE - WATER</t>
  </si>
  <si>
    <t>BULK PURCHACE - ELECTRICITY</t>
  </si>
  <si>
    <t>DEBT IMPAIRMENT</t>
  </si>
  <si>
    <t>FINANCE CHARGES</t>
  </si>
  <si>
    <t>OTHER EXPENDITURE</t>
  </si>
  <si>
    <t>TOTAL OPERATING EXPENDITURE</t>
  </si>
  <si>
    <t>OWN REVENUE</t>
  </si>
  <si>
    <t>SURPLUS/(DEFICIT)</t>
  </si>
  <si>
    <t>Waste compactor</t>
  </si>
  <si>
    <t>RENT OF FACILITIES AND PROPERTIES</t>
  </si>
  <si>
    <t>FINES</t>
  </si>
  <si>
    <t xml:space="preserve">ACIP </t>
  </si>
  <si>
    <t>ACIP</t>
  </si>
  <si>
    <t>CORPORATE</t>
  </si>
  <si>
    <t>FREE BASIC CHARGE</t>
  </si>
  <si>
    <t>DEPRECITION</t>
  </si>
  <si>
    <t xml:space="preserve">DEPRECIATION </t>
  </si>
  <si>
    <t>FREE BASIC SERVICE</t>
  </si>
  <si>
    <t>BULK PURCHASE</t>
  </si>
  <si>
    <t>CONTRACTED SERVICES</t>
  </si>
  <si>
    <t>FREE BASIC SERVICES</t>
  </si>
  <si>
    <t>CAPITAL EXPENDITURE</t>
  </si>
  <si>
    <t>SUMMARY OF GENERAL EXPENDITURE PER TYPE</t>
  </si>
  <si>
    <t>ADVERTISEMENTS</t>
  </si>
  <si>
    <t>ANNUAL REPORT</t>
  </si>
  <si>
    <t>AUDIT COMMITTEE EXPENDITURE</t>
  </si>
  <si>
    <t>AUDIT FEES</t>
  </si>
  <si>
    <t>BURSARIES</t>
  </si>
  <si>
    <t xml:space="preserve">CATTLE FOOD </t>
  </si>
  <si>
    <t>CLEANING VIP TOILETS</t>
  </si>
  <si>
    <t>COMMISSION PRE-PAID ELECTRICITY</t>
  </si>
  <si>
    <t>DEPARTMENTAL USAGE</t>
  </si>
  <si>
    <t>CLEANING MATERIAL</t>
  </si>
  <si>
    <t>DONATIONS</t>
  </si>
  <si>
    <t>FUEL AND OIL</t>
  </si>
  <si>
    <t>FURNITURE AND EQUIPMENT</t>
  </si>
  <si>
    <t>LERNERSHIP</t>
  </si>
  <si>
    <t>LED PROJECT</t>
  </si>
  <si>
    <t>LEGAL FEES</t>
  </si>
  <si>
    <t>MARKETING AND PROMOTIONS</t>
  </si>
  <si>
    <t>MEMBERSHIP FEES</t>
  </si>
  <si>
    <t>POSTAGE</t>
  </si>
  <si>
    <t>PUBLIC PARTICIPALTION</t>
  </si>
  <si>
    <t>REFRESSMENTS</t>
  </si>
  <si>
    <t>REFUSE BINS/BAGS</t>
  </si>
  <si>
    <t>PRINTING AND STATIONARY</t>
  </si>
  <si>
    <t>STORM WATER</t>
  </si>
  <si>
    <t>TRAVELLING AND SUBSISTENCE</t>
  </si>
  <si>
    <t>UNIFORMS</t>
  </si>
  <si>
    <t>WATER ANALYSIS</t>
  </si>
  <si>
    <t xml:space="preserve">WATER </t>
  </si>
  <si>
    <t>SUMMARY OF OTHER REVENUE BY TYPE</t>
  </si>
  <si>
    <t>BUILDING PLAN APPLICATIONS</t>
  </si>
  <si>
    <t>CEMENTRY PAYMENTS</t>
  </si>
  <si>
    <t>ENTRANCE FEE</t>
  </si>
  <si>
    <t>GARDEN REFUSE</t>
  </si>
  <si>
    <t>INSURANCE CLAIMS</t>
  </si>
  <si>
    <t>SALE OF DISPOSAL OF ASSETS</t>
  </si>
  <si>
    <t>RENT ONTVANG</t>
  </si>
  <si>
    <t>SURPLUS KONTANT</t>
  </si>
  <si>
    <t>CLEARANCE CERTIFICATE</t>
  </si>
  <si>
    <t>VALUATION CERTIFICATE</t>
  </si>
  <si>
    <t>CONNECTIONS</t>
  </si>
  <si>
    <t>DEPT SERVICE TO PUBLIC</t>
  </si>
  <si>
    <t>ELECTRICITY PRE-PAID METERS</t>
  </si>
  <si>
    <t>BANk CHARGES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</si>
  <si>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</si>
  <si>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</si>
  <si>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</si>
  <si>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</si>
  <si>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</si>
  <si>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</si>
  <si>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</si>
  <si>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</si>
  <si>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</si>
  <si>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</si>
  <si>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Novemeber</t>
  </si>
  <si>
    <t>December</t>
  </si>
  <si>
    <t xml:space="preserve">MOTHLY </t>
  </si>
  <si>
    <t>WITH THE 10% INCREASE ON THE COLLECTION RATE</t>
  </si>
  <si>
    <t>INCOMEN FROM OLD DEBT</t>
  </si>
  <si>
    <t>EXTERNAL AUDIT</t>
  </si>
  <si>
    <t>REFRESHMENTS AND ENTERTAINMENT</t>
  </si>
  <si>
    <t>INTEREST EARNED - OTHER</t>
  </si>
  <si>
    <t>R&amp; M TOOLS;</t>
  </si>
  <si>
    <t>R &amp; M SEPTIC TANK;</t>
  </si>
  <si>
    <t>DISINFECTION/CLEANING/MATERIAL</t>
  </si>
  <si>
    <t>Budget 2015/16</t>
  </si>
  <si>
    <t>Adjustment Budget 2015/16</t>
  </si>
  <si>
    <t>Performance- 2015/16</t>
  </si>
  <si>
    <t xml:space="preserve"> Budget 2015/16</t>
  </si>
  <si>
    <t>SUMMARY ADJUSTMENT BUDGET 2015/16</t>
  </si>
  <si>
    <t>SURPLUS AND DEFICIT OF COMMUNITY SERVICES DEPARTMENT</t>
  </si>
  <si>
    <t>SURPLUS AND DEFICIT OF MUNICIPAL MANAGER'S DEPARTMENT</t>
  </si>
  <si>
    <t>SURPLUS AND DEFICIT OF CORPORATE SERVICES DEPARTMENT</t>
  </si>
  <si>
    <t>SURPLUS AND DEFICIT OF SPEAKER'S OFFICE</t>
  </si>
  <si>
    <t>SURPLUS AND DEFICIT OF MAYOR'S OFFICE</t>
  </si>
  <si>
    <t>SURPLUS AND DEFICIT OF FINANCE DEPARTMENT</t>
  </si>
  <si>
    <t>Upgrading of Immovable Assets</t>
  </si>
  <si>
    <t>General Expenditure</t>
  </si>
  <si>
    <t>SUMMARY OF EMPLOYEE RELATED COST</t>
  </si>
  <si>
    <t>REMUNERATION OF COUNCILLORS</t>
  </si>
  <si>
    <t>Budget 2016/17</t>
  </si>
  <si>
    <t>Performance - January 2016</t>
  </si>
  <si>
    <t>FINANCIAL PERFORMANCE BUDGET 2016/17</t>
  </si>
  <si>
    <t>SUMMARY ANNUAL BUDGET 2015/16</t>
  </si>
  <si>
    <t>CONCENT USE</t>
  </si>
  <si>
    <t>INTEREST EARNED- OTHER;</t>
  </si>
  <si>
    <t>Draft Budget 2016/17</t>
  </si>
  <si>
    <t>Draft Annual Budget 2016/17</t>
  </si>
  <si>
    <t>SUMMARY DRAFT ANNUAL BUDGET 2016/17</t>
  </si>
  <si>
    <t>Groundwater study and Boreholes Development</t>
  </si>
  <si>
    <t>Mamafubedu: Fencing of Municipal Infrastructure (2,9km) (MIS:236481)</t>
  </si>
  <si>
    <t>Reitz: Fencing of Municipal Infrastructure (3.1km)(MIS:235251)</t>
  </si>
  <si>
    <t>Lindley: Fencing of raw water retention dam (1.870km) (MIS:235169)</t>
  </si>
  <si>
    <t>Mamafubedu Roads Upgrading (MIS:182663)</t>
  </si>
  <si>
    <t>Mamafubedu: Solid Waste Disposal Site</t>
  </si>
  <si>
    <t>INTERNAL AUDIT AND RISK CAPACITY</t>
  </si>
  <si>
    <t>AWERNESS CAMPAIGN</t>
  </si>
  <si>
    <t>TOURISM EVENTS/SUMMITS</t>
  </si>
  <si>
    <t>Budget 2013/2014</t>
  </si>
  <si>
    <t>Budget 2014/2015</t>
  </si>
  <si>
    <t>Budget 2015/2016</t>
  </si>
  <si>
    <t>Budget 2017/2018</t>
  </si>
  <si>
    <t>Budget 2018/2019</t>
  </si>
  <si>
    <t>UNMETERED DEPARTMENTAL CONSUMPTION</t>
  </si>
  <si>
    <t xml:space="preserve">Lindley: Fencing of raw water retention dam </t>
  </si>
  <si>
    <t>Mamafubedu: Fencing of Municipal Infrastructure</t>
  </si>
  <si>
    <t>Reitz: Fencing of Municipal Infrastructure</t>
  </si>
  <si>
    <t xml:space="preserve">UNMETTERD BILLING </t>
  </si>
  <si>
    <t>DEBIT LEG</t>
  </si>
  <si>
    <t>CREDIT LEG</t>
  </si>
  <si>
    <t>DEBIT</t>
  </si>
  <si>
    <t>CREDIT</t>
  </si>
  <si>
    <t>Gen Expenditure by Type</t>
  </si>
  <si>
    <t>FBE</t>
  </si>
  <si>
    <t>Income from old debt</t>
  </si>
  <si>
    <t>Blue drop expenditure</t>
  </si>
  <si>
    <t>credit control expenditure</t>
  </si>
  <si>
    <t>% of Total Budget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</si>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</sst>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&quot;R&quot;\ 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C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16" fillId="0" borderId="0" xfId="0" applyFont="1"/>
    <xf numFmtId="44" fontId="0" fillId="0" borderId="0" xfId="0" applyNumberFormat="1"/>
    <xf numFmtId="44" fontId="16" fillId="36" borderId="13" xfId="0" applyNumberFormat="1" applyFont="1" applyFill="1" applyBorder="1"/>
    <xf numFmtId="44" fontId="16" fillId="0" borderId="13" xfId="0" applyNumberFormat="1" applyFont="1" applyBorder="1"/>
    <xf numFmtId="0" fontId="0" fillId="34" borderId="14" xfId="0" applyFill="1" applyBorder="1"/>
    <xf numFmtId="43" fontId="0" fillId="0" borderId="0" xfId="42" applyFont="1"/>
    <xf numFmtId="43" fontId="0" fillId="0" borderId="0" xfId="42" applyFont="1" applyFill="1"/>
    <xf numFmtId="0" fontId="0" fillId="0" borderId="16" xfId="0" applyBorder="1"/>
    <xf numFmtId="43" fontId="0" fillId="0" borderId="16" xfId="42" applyFont="1" applyBorder="1"/>
    <xf numFmtId="0" fontId="13" fillId="7" borderId="10" xfId="13" applyBorder="1"/>
    <xf numFmtId="43" fontId="13" fillId="7" borderId="10" xfId="13" applyNumberFormat="1" applyFont="1" applyBorder="1"/>
    <xf numFmtId="43" fontId="13" fillId="35" borderId="10" xfId="13" applyNumberFormat="1" applyFont="1" applyFill="1" applyBorder="1"/>
    <xf numFmtId="0" fontId="0" fillId="0" borderId="10" xfId="0" applyBorder="1"/>
    <xf numFmtId="43" fontId="0" fillId="0" borderId="10" xfId="42" applyFont="1" applyBorder="1"/>
    <xf numFmtId="43" fontId="13" fillId="7" borderId="10" xfId="13" applyNumberFormat="1" applyBorder="1"/>
    <xf numFmtId="43" fontId="13" fillId="7" borderId="10" xfId="42" applyFont="1" applyFill="1" applyBorder="1"/>
    <xf numFmtId="0" fontId="16" fillId="0" borderId="10" xfId="0" applyFont="1" applyBorder="1"/>
    <xf numFmtId="43" fontId="16" fillId="0" borderId="10" xfId="42" applyFont="1" applyBorder="1"/>
    <xf numFmtId="43" fontId="0" fillId="0" borderId="10" xfId="42" applyFont="1" applyFill="1" applyBorder="1"/>
    <xf numFmtId="0" fontId="0" fillId="0" borderId="17" xfId="0" applyBorder="1"/>
    <xf numFmtId="43" fontId="0" fillId="0" borderId="17" xfId="42" applyFont="1" applyBorder="1"/>
    <xf numFmtId="0" fontId="21" fillId="0" borderId="0" xfId="0" applyFont="1"/>
    <xf numFmtId="43" fontId="1" fillId="0" borderId="16" xfId="37" applyNumberFormat="1" applyFont="1" applyFill="1" applyBorder="1"/>
    <xf numFmtId="43" fontId="1" fillId="0" borderId="10" xfId="37" applyNumberFormat="1" applyFont="1" applyFill="1" applyBorder="1"/>
    <xf numFmtId="43" fontId="1" fillId="0" borderId="17" xfId="37" applyNumberFormat="1" applyFont="1" applyFill="1" applyBorder="1"/>
    <xf numFmtId="0" fontId="24" fillId="0" borderId="0" xfId="0" applyFont="1"/>
    <xf numFmtId="164" fontId="0" fillId="0" borderId="0" xfId="0" applyNumberFormat="1"/>
    <xf numFmtId="164" fontId="16" fillId="0" borderId="13" xfId="0" applyNumberFormat="1" applyFont="1" applyBorder="1"/>
    <xf numFmtId="44" fontId="0" fillId="0" borderId="13" xfId="0" applyNumberFormat="1" applyBorder="1"/>
    <xf numFmtId="44" fontId="0" fillId="33" borderId="0" xfId="0" applyNumberFormat="1" applyFill="1"/>
    <xf numFmtId="164" fontId="16" fillId="0" borderId="10" xfId="0" applyNumberFormat="1" applyFont="1" applyBorder="1"/>
    <xf numFmtId="164" fontId="14" fillId="0" borderId="0" xfId="0" applyNumberFormat="1" applyFont="1"/>
    <xf numFmtId="164" fontId="14" fillId="33" borderId="0" xfId="0" applyNumberFormat="1" applyFont="1" applyFill="1"/>
    <xf numFmtId="44" fontId="0" fillId="0" borderId="0" xfId="0" applyNumberFormat="1" applyFill="1"/>
    <xf numFmtId="0" fontId="0" fillId="0" borderId="0" xfId="0" applyFill="1"/>
    <xf numFmtId="0" fontId="16" fillId="0" borderId="18" xfId="0" applyFont="1" applyBorder="1"/>
    <xf numFmtId="0" fontId="16" fillId="0" borderId="19" xfId="0" applyFont="1" applyBorder="1"/>
    <xf numFmtId="164" fontId="0" fillId="0" borderId="0" xfId="0" applyNumberFormat="1" applyFill="1"/>
    <xf numFmtId="0" fontId="16" fillId="0" borderId="0" xfId="0" applyFont="1" applyBorder="1"/>
    <xf numFmtId="164" fontId="0" fillId="0" borderId="0" xfId="0" applyNumberFormat="1" applyBorder="1"/>
    <xf numFmtId="164" fontId="16" fillId="0" borderId="0" xfId="0" applyNumberFormat="1" applyFont="1" applyBorder="1"/>
    <xf numFmtId="0" fontId="0" fillId="0" borderId="0" xfId="0" applyBorder="1"/>
    <xf numFmtId="0" fontId="14" fillId="0" borderId="0" xfId="0" applyFont="1"/>
    <xf numFmtId="164" fontId="16" fillId="0" borderId="0" xfId="0" applyNumberFormat="1" applyFont="1"/>
    <xf numFmtId="164" fontId="16" fillId="0" borderId="19" xfId="0" applyNumberFormat="1" applyFont="1" applyBorder="1"/>
    <xf numFmtId="164" fontId="16" fillId="0" borderId="20" xfId="0" applyNumberFormat="1" applyFont="1" applyBorder="1"/>
    <xf numFmtId="164" fontId="18" fillId="0" borderId="0" xfId="0" applyNumberFormat="1" applyFont="1"/>
    <xf numFmtId="0" fontId="0" fillId="33" borderId="0" xfId="0" applyFill="1"/>
    <xf numFmtId="164" fontId="0" fillId="0" borderId="0" xfId="0" applyNumberFormat="1" applyFont="1"/>
    <xf numFmtId="164" fontId="0" fillId="0" borderId="13" xfId="0" applyNumberFormat="1" applyBorder="1"/>
    <xf numFmtId="164" fontId="25" fillId="0" borderId="21" xfId="0" applyNumberFormat="1" applyFont="1" applyBorder="1"/>
    <xf numFmtId="49" fontId="0" fillId="0" borderId="0" xfId="0" applyNumberFormat="1"/>
    <xf numFmtId="0" fontId="0" fillId="36" borderId="0" xfId="0" applyFont="1" applyFill="1"/>
    <xf numFmtId="164" fontId="0" fillId="36" borderId="0" xfId="0" applyNumberFormat="1" applyFont="1" applyFill="1"/>
    <xf numFmtId="164" fontId="18" fillId="0" borderId="0" xfId="0" applyNumberFormat="1" applyFont="1" applyBorder="1"/>
    <xf numFmtId="164" fontId="21" fillId="0" borderId="13" xfId="0" applyNumberFormat="1" applyFont="1" applyBorder="1"/>
    <xf numFmtId="0" fontId="0" fillId="0" borderId="13" xfId="0" applyBorder="1"/>
    <xf numFmtId="44" fontId="16" fillId="0" borderId="0" xfId="0" applyNumberFormat="1" applyFont="1"/>
    <xf numFmtId="0" fontId="16" fillId="0" borderId="20" xfId="0" applyFont="1" applyBorder="1"/>
    <xf numFmtId="0" fontId="16" fillId="0" borderId="22" xfId="0" applyFont="1" applyBorder="1"/>
    <xf numFmtId="164" fontId="16" fillId="0" borderId="18" xfId="0" applyNumberFormat="1" applyFont="1" applyBorder="1"/>
    <xf numFmtId="164" fontId="18" fillId="0" borderId="13" xfId="0" applyNumberFormat="1" applyFont="1" applyBorder="1"/>
    <xf numFmtId="164" fontId="16" fillId="0" borderId="13" xfId="0" applyNumberFormat="1" applyFont="1" applyFill="1" applyBorder="1"/>
    <xf numFmtId="164" fontId="16" fillId="0" borderId="22" xfId="0" applyNumberFormat="1" applyFont="1" applyBorder="1"/>
    <xf numFmtId="0" fontId="18" fillId="0" borderId="13" xfId="0" applyFont="1" applyBorder="1"/>
    <xf numFmtId="164" fontId="0" fillId="0" borderId="21" xfId="0" applyNumberFormat="1" applyBorder="1"/>
    <xf numFmtId="44" fontId="0" fillId="0" borderId="0" xfId="0" applyNumberFormat="1" applyBorder="1"/>
    <xf numFmtId="164" fontId="16" fillId="0" borderId="19" xfId="0" applyNumberFormat="1" applyFont="1" applyFill="1" applyBorder="1"/>
    <xf numFmtId="164" fontId="16" fillId="0" borderId="20" xfId="0" applyNumberFormat="1" applyFont="1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Border="1"/>
    <xf numFmtId="164" fontId="16" fillId="0" borderId="0" xfId="0" applyNumberFormat="1" applyFont="1" applyFill="1" applyBorder="1"/>
    <xf numFmtId="164" fontId="18" fillId="0" borderId="0" xfId="0" applyNumberFormat="1" applyFont="1" applyFill="1"/>
    <xf numFmtId="164" fontId="0" fillId="0" borderId="13" xfId="0" applyNumberFormat="1" applyFill="1" applyBorder="1"/>
    <xf numFmtId="0" fontId="0" fillId="0" borderId="0" xfId="0" applyNumberFormat="1" applyFill="1"/>
    <xf numFmtId="164" fontId="14" fillId="0" borderId="0" xfId="0" applyNumberFormat="1" applyFont="1" applyFill="1"/>
    <xf numFmtId="164" fontId="25" fillId="0" borderId="21" xfId="0" applyNumberFormat="1" applyFont="1" applyFill="1" applyBorder="1"/>
    <xf numFmtId="0" fontId="0" fillId="0" borderId="10" xfId="0" applyFill="1" applyBorder="1"/>
    <xf numFmtId="164" fontId="0" fillId="0" borderId="10" xfId="0" applyNumberFormat="1" applyBorder="1"/>
    <xf numFmtId="0" fontId="0" fillId="36" borderId="10" xfId="0" applyFont="1" applyFill="1" applyBorder="1"/>
    <xf numFmtId="164" fontId="0" fillId="36" borderId="10" xfId="0" applyNumberFormat="1" applyFont="1" applyFill="1" applyBorder="1"/>
    <xf numFmtId="164" fontId="0" fillId="36" borderId="10" xfId="0" applyNumberFormat="1" applyFill="1" applyBorder="1"/>
    <xf numFmtId="164" fontId="0" fillId="0" borderId="10" xfId="0" applyNumberFormat="1" applyFill="1" applyBorder="1"/>
    <xf numFmtId="164" fontId="0" fillId="0" borderId="10" xfId="0" applyNumberFormat="1" applyFont="1" applyFill="1" applyBorder="1"/>
    <xf numFmtId="0" fontId="16" fillId="0" borderId="10" xfId="0" applyFont="1" applyFill="1" applyBorder="1"/>
    <xf numFmtId="164" fontId="16" fillId="0" borderId="10" xfId="0" applyNumberFormat="1" applyFont="1" applyFill="1" applyBorder="1"/>
    <xf numFmtId="0" fontId="14" fillId="0" borderId="10" xfId="0" applyFont="1" applyFill="1" applyBorder="1"/>
    <xf numFmtId="164" fontId="14" fillId="0" borderId="1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8" fillId="0" borderId="0" xfId="0" applyNumberFormat="1" applyFont="1" applyFill="1" applyBorder="1"/>
    <xf numFmtId="0" fontId="0" fillId="0" borderId="14" xfId="0" applyBorder="1"/>
    <xf numFmtId="164" fontId="25" fillId="0" borderId="0" xfId="0" applyNumberFormat="1" applyFont="1" applyFill="1" applyBorder="1"/>
    <xf numFmtId="164" fontId="0" fillId="0" borderId="23" xfId="0" applyNumberFormat="1" applyBorder="1"/>
    <xf numFmtId="164" fontId="0" fillId="0" borderId="24" xfId="0" applyNumberFormat="1" applyBorder="1"/>
    <xf numFmtId="0" fontId="0" fillId="33" borderId="10" xfId="0" applyFill="1" applyBorder="1"/>
    <xf numFmtId="164" fontId="0" fillId="33" borderId="10" xfId="0" applyNumberFormat="1" applyFill="1" applyBorder="1"/>
    <xf numFmtId="164" fontId="18" fillId="36" borderId="0" xfId="0" applyNumberFormat="1" applyFont="1" applyFill="1" applyBorder="1"/>
    <xf numFmtId="164" fontId="16" fillId="36" borderId="0" xfId="0" applyNumberFormat="1" applyFont="1" applyFill="1" applyBorder="1"/>
    <xf numFmtId="0" fontId="0" fillId="0" borderId="17" xfId="0" applyFill="1" applyBorder="1"/>
    <xf numFmtId="164" fontId="0" fillId="37" borderId="0" xfId="0" applyNumberFormat="1" applyFill="1"/>
    <xf numFmtId="164" fontId="16" fillId="37" borderId="0" xfId="0" applyNumberFormat="1" applyFont="1" applyFill="1" applyBorder="1"/>
    <xf numFmtId="164" fontId="0" fillId="37" borderId="10" xfId="0" applyNumberFormat="1" applyFill="1" applyBorder="1"/>
    <xf numFmtId="164" fontId="18" fillId="37" borderId="0" xfId="0" applyNumberFormat="1" applyFont="1" applyFill="1"/>
    <xf numFmtId="164" fontId="0" fillId="37" borderId="0" xfId="0" applyNumberFormat="1" applyFill="1" applyBorder="1"/>
    <xf numFmtId="164" fontId="18" fillId="37" borderId="0" xfId="0" applyNumberFormat="1" applyFont="1" applyFill="1" applyBorder="1"/>
    <xf numFmtId="164" fontId="16" fillId="37" borderId="0" xfId="0" applyNumberFormat="1" applyFont="1" applyFill="1"/>
    <xf numFmtId="164" fontId="0" fillId="37" borderId="10" xfId="0" applyNumberFormat="1" applyFont="1" applyFill="1" applyBorder="1"/>
    <xf numFmtId="164" fontId="16" fillId="37" borderId="10" xfId="0" applyNumberFormat="1" applyFont="1" applyFill="1" applyBorder="1"/>
    <xf numFmtId="164" fontId="14" fillId="37" borderId="10" xfId="0" applyNumberFormat="1" applyFont="1" applyFill="1" applyBorder="1"/>
    <xf numFmtId="164" fontId="25" fillId="37" borderId="21" xfId="0" applyNumberFormat="1" applyFont="1" applyFill="1" applyBorder="1"/>
    <xf numFmtId="164" fontId="25" fillId="37" borderId="0" xfId="0" applyNumberFormat="1" applyFont="1" applyFill="1" applyBorder="1"/>
    <xf numFmtId="164" fontId="0" fillId="37" borderId="13" xfId="0" applyNumberFormat="1" applyFill="1" applyBorder="1"/>
    <xf numFmtId="164" fontId="0" fillId="38" borderId="0" xfId="0" applyNumberFormat="1" applyFill="1"/>
    <xf numFmtId="164" fontId="16" fillId="38" borderId="0" xfId="0" applyNumberFormat="1" applyFont="1" applyFill="1" applyBorder="1"/>
    <xf numFmtId="164" fontId="0" fillId="38" borderId="10" xfId="0" applyNumberFormat="1" applyFill="1" applyBorder="1"/>
    <xf numFmtId="164" fontId="18" fillId="38" borderId="0" xfId="0" applyNumberFormat="1" applyFont="1" applyFill="1"/>
    <xf numFmtId="164" fontId="0" fillId="38" borderId="0" xfId="0" applyNumberFormat="1" applyFill="1" applyBorder="1"/>
    <xf numFmtId="164" fontId="18" fillId="38" borderId="0" xfId="0" applyNumberFormat="1" applyFont="1" applyFill="1" applyBorder="1"/>
    <xf numFmtId="164" fontId="16" fillId="38" borderId="0" xfId="0" applyNumberFormat="1" applyFont="1" applyFill="1"/>
    <xf numFmtId="164" fontId="16" fillId="38" borderId="10" xfId="0" applyNumberFormat="1" applyFont="1" applyFill="1" applyBorder="1"/>
    <xf numFmtId="164" fontId="14" fillId="38" borderId="10" xfId="0" applyNumberFormat="1" applyFont="1" applyFill="1" applyBorder="1"/>
    <xf numFmtId="164" fontId="25" fillId="38" borderId="21" xfId="0" applyNumberFormat="1" applyFont="1" applyFill="1" applyBorder="1"/>
    <xf numFmtId="164" fontId="0" fillId="38" borderId="13" xfId="0" applyNumberFormat="1" applyFill="1" applyBorder="1"/>
    <xf numFmtId="164" fontId="0" fillId="39" borderId="0" xfId="0" applyNumberFormat="1" applyFill="1"/>
    <xf numFmtId="164" fontId="16" fillId="39" borderId="0" xfId="0" applyNumberFormat="1" applyFont="1" applyFill="1" applyBorder="1"/>
    <xf numFmtId="164" fontId="0" fillId="39" borderId="10" xfId="0" applyNumberFormat="1" applyFill="1" applyBorder="1"/>
    <xf numFmtId="164" fontId="18" fillId="39" borderId="0" xfId="0" applyNumberFormat="1" applyFont="1" applyFill="1"/>
    <xf numFmtId="164" fontId="0" fillId="39" borderId="0" xfId="0" applyNumberFormat="1" applyFill="1" applyBorder="1"/>
    <xf numFmtId="164" fontId="18" fillId="39" borderId="0" xfId="0" applyNumberFormat="1" applyFont="1" applyFill="1" applyBorder="1"/>
    <xf numFmtId="164" fontId="16" fillId="39" borderId="0" xfId="0" applyNumberFormat="1" applyFont="1" applyFill="1"/>
    <xf numFmtId="164" fontId="0" fillId="40" borderId="0" xfId="0" applyNumberFormat="1" applyFill="1"/>
    <xf numFmtId="164" fontId="16" fillId="40" borderId="25" xfId="0" applyNumberFormat="1" applyFont="1" applyFill="1" applyBorder="1"/>
    <xf numFmtId="164" fontId="16" fillId="40" borderId="0" xfId="0" applyNumberFormat="1" applyFont="1" applyFill="1" applyBorder="1"/>
    <xf numFmtId="164" fontId="0" fillId="40" borderId="10" xfId="0" applyNumberFormat="1" applyFill="1" applyBorder="1"/>
    <xf numFmtId="164" fontId="18" fillId="40" borderId="0" xfId="0" applyNumberFormat="1" applyFont="1" applyFill="1"/>
    <xf numFmtId="164" fontId="18" fillId="40" borderId="0" xfId="0" applyNumberFormat="1" applyFont="1" applyFill="1" applyBorder="1"/>
    <xf numFmtId="164" fontId="16" fillId="40" borderId="0" xfId="0" applyNumberFormat="1" applyFont="1" applyFill="1"/>
    <xf numFmtId="164" fontId="17" fillId="0" borderId="0" xfId="0" applyNumberFormat="1" applyFont="1"/>
    <xf numFmtId="164" fontId="0" fillId="39" borderId="10" xfId="0" applyNumberFormat="1" applyFont="1" applyFill="1" applyBorder="1"/>
    <xf numFmtId="164" fontId="16" fillId="39" borderId="10" xfId="0" applyNumberFormat="1" applyFont="1" applyFill="1" applyBorder="1"/>
    <xf numFmtId="164" fontId="0" fillId="0" borderId="10" xfId="0" applyNumberFormat="1" applyFont="1" applyBorder="1"/>
    <xf numFmtId="164" fontId="0" fillId="37" borderId="17" xfId="0" applyNumberFormat="1" applyFill="1" applyBorder="1"/>
    <xf numFmtId="49" fontId="17" fillId="0" borderId="0" xfId="0" applyNumberFormat="1" applyFont="1"/>
    <xf numFmtId="164" fontId="17" fillId="0" borderId="0" xfId="0" applyNumberFormat="1" applyFont="1" applyBorder="1"/>
    <xf numFmtId="0" fontId="0" fillId="41" borderId="0" xfId="0" applyFill="1"/>
    <xf numFmtId="164" fontId="0" fillId="41" borderId="0" xfId="0" applyNumberFormat="1" applyFill="1"/>
    <xf numFmtId="0" fontId="16" fillId="41" borderId="19" xfId="0" applyFont="1" applyFill="1" applyBorder="1"/>
    <xf numFmtId="0" fontId="16" fillId="41" borderId="25" xfId="0" applyFont="1" applyFill="1" applyBorder="1"/>
    <xf numFmtId="0" fontId="16" fillId="41" borderId="18" xfId="0" applyFont="1" applyFill="1" applyBorder="1"/>
    <xf numFmtId="164" fontId="16" fillId="41" borderId="25" xfId="0" applyNumberFormat="1" applyFont="1" applyFill="1" applyBorder="1"/>
    <xf numFmtId="164" fontId="16" fillId="41" borderId="19" xfId="0" applyNumberFormat="1" applyFont="1" applyFill="1" applyBorder="1"/>
    <xf numFmtId="164" fontId="0" fillId="42" borderId="0" xfId="0" applyNumberFormat="1" applyFill="1"/>
    <xf numFmtId="164" fontId="16" fillId="42" borderId="25" xfId="0" applyNumberFormat="1" applyFont="1" applyFill="1" applyBorder="1"/>
    <xf numFmtId="164" fontId="16" fillId="42" borderId="19" xfId="0" applyNumberFormat="1" applyFont="1" applyFill="1" applyBorder="1"/>
    <xf numFmtId="0" fontId="0" fillId="43" borderId="0" xfId="0" applyFill="1"/>
    <xf numFmtId="0" fontId="16" fillId="37" borderId="0" xfId="0" applyFont="1" applyFill="1"/>
    <xf numFmtId="0" fontId="0" fillId="37" borderId="0" xfId="0" applyFill="1"/>
    <xf numFmtId="164" fontId="0" fillId="44" borderId="0" xfId="0" applyNumberFormat="1" applyFill="1"/>
    <xf numFmtId="164" fontId="18" fillId="44" borderId="0" xfId="0" applyNumberFormat="1" applyFont="1" applyFill="1"/>
    <xf numFmtId="0" fontId="0" fillId="44" borderId="0" xfId="0" applyFill="1"/>
    <xf numFmtId="164" fontId="16" fillId="38" borderId="25" xfId="0" applyNumberFormat="1" applyFont="1" applyFill="1" applyBorder="1"/>
    <xf numFmtId="0" fontId="0" fillId="38" borderId="0" xfId="0" applyFill="1"/>
    <xf numFmtId="164" fontId="17" fillId="0" borderId="0" xfId="0" applyNumberFormat="1" applyFont="1" applyFill="1"/>
    <xf numFmtId="164" fontId="16" fillId="40" borderId="10" xfId="0" applyNumberFormat="1" applyFont="1" applyFill="1" applyBorder="1"/>
    <xf numFmtId="164" fontId="17" fillId="0" borderId="0" xfId="0" applyNumberFormat="1" applyFont="1" applyFill="1" applyBorder="1"/>
    <xf numFmtId="164" fontId="14" fillId="40" borderId="10" xfId="0" applyNumberFormat="1" applyFont="1" applyFill="1" applyBorder="1"/>
    <xf numFmtId="164" fontId="0" fillId="40" borderId="10" xfId="0" applyNumberFormat="1" applyFont="1" applyFill="1" applyBorder="1"/>
    <xf numFmtId="164" fontId="13" fillId="0" borderId="0" xfId="0" applyNumberFormat="1" applyFont="1" applyFill="1"/>
    <xf numFmtId="164" fontId="0" fillId="40" borderId="0" xfId="0" applyNumberFormat="1" applyFill="1" applyBorder="1"/>
    <xf numFmtId="0" fontId="0" fillId="40" borderId="0" xfId="0" applyFill="1"/>
    <xf numFmtId="0" fontId="16" fillId="41" borderId="26" xfId="0" applyFont="1" applyFill="1" applyBorder="1"/>
    <xf numFmtId="0" fontId="16" fillId="41" borderId="27" xfId="0" applyFont="1" applyFill="1" applyBorder="1"/>
    <xf numFmtId="0" fontId="16" fillId="41" borderId="28" xfId="0" applyFont="1" applyFill="1" applyBorder="1"/>
    <xf numFmtId="164" fontId="16" fillId="41" borderId="27" xfId="0" applyNumberFormat="1" applyFont="1" applyFill="1" applyBorder="1"/>
    <xf numFmtId="164" fontId="16" fillId="41" borderId="26" xfId="0" applyNumberFormat="1" applyFont="1" applyFill="1" applyBorder="1"/>
    <xf numFmtId="164" fontId="0" fillId="33" borderId="0" xfId="0" applyNumberFormat="1" applyFill="1" applyBorder="1"/>
    <xf numFmtId="0" fontId="16" fillId="38" borderId="0" xfId="0" applyFont="1" applyFill="1"/>
    <xf numFmtId="44" fontId="0" fillId="38" borderId="0" xfId="0" applyNumberFormat="1" applyFill="1"/>
    <xf numFmtId="164" fontId="16" fillId="38" borderId="13" xfId="0" applyNumberFormat="1" applyFont="1" applyFill="1" applyBorder="1"/>
    <xf numFmtId="0" fontId="14" fillId="0" borderId="0" xfId="0" applyFont="1" applyFill="1"/>
    <xf numFmtId="164" fontId="13" fillId="0" borderId="0" xfId="0" applyNumberFormat="1" applyFont="1"/>
    <xf numFmtId="44" fontId="17" fillId="0" borderId="0" xfId="0" applyNumberFormat="1" applyFont="1"/>
    <xf numFmtId="0" fontId="17" fillId="0" borderId="0" xfId="0" applyFont="1"/>
    <xf numFmtId="164" fontId="0" fillId="0" borderId="22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18" fillId="0" borderId="31" xfId="0" applyNumberFormat="1" applyFont="1" applyBorder="1"/>
    <xf numFmtId="164" fontId="18" fillId="0" borderId="32" xfId="0" applyNumberFormat="1" applyFont="1" applyBorder="1"/>
    <xf numFmtId="164" fontId="0" fillId="0" borderId="33" xfId="0" applyNumberFormat="1" applyBorder="1"/>
    <xf numFmtId="164" fontId="0" fillId="0" borderId="34" xfId="0" applyNumberFormat="1" applyBorder="1"/>
    <xf numFmtId="164" fontId="18" fillId="36" borderId="0" xfId="0" applyNumberFormat="1" applyFont="1" applyFill="1"/>
    <xf numFmtId="164" fontId="0" fillId="37" borderId="21" xfId="0" applyNumberFormat="1" applyFill="1" applyBorder="1"/>
    <xf numFmtId="164" fontId="16" fillId="37" borderId="25" xfId="0" applyNumberFormat="1" applyFont="1" applyFill="1" applyBorder="1"/>
    <xf numFmtId="164" fontId="0" fillId="38" borderId="21" xfId="0" applyNumberFormat="1" applyFill="1" applyBorder="1"/>
    <xf numFmtId="0" fontId="0" fillId="37" borderId="21" xfId="0" applyFill="1" applyBorder="1"/>
    <xf numFmtId="164" fontId="16" fillId="41" borderId="10" xfId="0" applyNumberFormat="1" applyFont="1" applyFill="1" applyBorder="1"/>
    <xf numFmtId="164" fontId="18" fillId="38" borderId="13" xfId="0" applyNumberFormat="1" applyFont="1" applyFill="1" applyBorder="1"/>
    <xf numFmtId="164" fontId="18" fillId="40" borderId="13" xfId="0" applyNumberFormat="1" applyFont="1" applyFill="1" applyBorder="1"/>
    <xf numFmtId="164" fontId="18" fillId="0" borderId="13" xfId="0" applyNumberFormat="1" applyFont="1" applyFill="1" applyBorder="1"/>
    <xf numFmtId="0" fontId="18" fillId="38" borderId="13" xfId="0" applyFont="1" applyFill="1" applyBorder="1"/>
    <xf numFmtId="44" fontId="18" fillId="38" borderId="13" xfId="0" applyNumberFormat="1" applyFont="1" applyFill="1" applyBorder="1"/>
    <xf numFmtId="164" fontId="16" fillId="41" borderId="18" xfId="0" applyNumberFormat="1" applyFont="1" applyFill="1" applyBorder="1"/>
    <xf numFmtId="0" fontId="16" fillId="41" borderId="22" xfId="0" applyFont="1" applyFill="1" applyBorder="1"/>
    <xf numFmtId="164" fontId="26" fillId="0" borderId="10" xfId="0" applyNumberFormat="1" applyFont="1" applyFill="1" applyBorder="1"/>
    <xf numFmtId="43" fontId="0" fillId="36" borderId="0" xfId="42" applyFont="1" applyFill="1"/>
    <xf numFmtId="43" fontId="0" fillId="36" borderId="16" xfId="42" applyFont="1" applyFill="1" applyBorder="1"/>
    <xf numFmtId="43" fontId="0" fillId="36" borderId="17" xfId="42" applyFont="1" applyFill="1" applyBorder="1"/>
    <xf numFmtId="43" fontId="0" fillId="36" borderId="10" xfId="42" applyFont="1" applyFill="1" applyBorder="1"/>
    <xf numFmtId="43" fontId="16" fillId="36" borderId="10" xfId="42" applyFont="1" applyFill="1" applyBorder="1"/>
    <xf numFmtId="43" fontId="13" fillId="45" borderId="10" xfId="13" applyNumberFormat="1" applyFont="1" applyFill="1" applyBorder="1"/>
    <xf numFmtId="43" fontId="13" fillId="45" borderId="10" xfId="42" applyFont="1" applyFill="1" applyBorder="1"/>
    <xf numFmtId="164" fontId="16" fillId="41" borderId="11" xfId="0" applyNumberFormat="1" applyFont="1" applyFill="1" applyBorder="1"/>
    <xf numFmtId="44" fontId="16" fillId="41" borderId="25" xfId="0" applyNumberFormat="1" applyFont="1" applyFill="1" applyBorder="1"/>
    <xf numFmtId="43" fontId="0" fillId="40" borderId="17" xfId="42" applyFont="1" applyFill="1" applyBorder="1"/>
    <xf numFmtId="43" fontId="0" fillId="40" borderId="16" xfId="42" applyFont="1" applyFill="1" applyBorder="1"/>
    <xf numFmtId="43" fontId="0" fillId="40" borderId="10" xfId="42" applyFont="1" applyFill="1" applyBorder="1"/>
    <xf numFmtId="43" fontId="16" fillId="40" borderId="10" xfId="42" applyFont="1" applyFill="1" applyBorder="1"/>
    <xf numFmtId="43" fontId="1" fillId="0" borderId="10" xfId="42" applyFont="1" applyFill="1" applyBorder="1"/>
    <xf numFmtId="164" fontId="16" fillId="0" borderId="25" xfId="0" applyNumberFormat="1" applyFont="1" applyBorder="1"/>
    <xf numFmtId="0" fontId="0" fillId="39" borderId="0" xfId="0" applyFill="1"/>
    <xf numFmtId="164" fontId="0" fillId="38" borderId="19" xfId="0" applyNumberFormat="1" applyFill="1" applyBorder="1"/>
    <xf numFmtId="0" fontId="16" fillId="38" borderId="20" xfId="0" applyFont="1" applyFill="1" applyBorder="1"/>
    <xf numFmtId="164" fontId="0" fillId="37" borderId="19" xfId="0" applyNumberFormat="1" applyFill="1" applyBorder="1"/>
    <xf numFmtId="0" fontId="16" fillId="37" borderId="20" xfId="0" applyFont="1" applyFill="1" applyBorder="1"/>
    <xf numFmtId="44" fontId="18" fillId="0" borderId="13" xfId="0" applyNumberFormat="1" applyFont="1" applyBorder="1"/>
    <xf numFmtId="44" fontId="14" fillId="0" borderId="0" xfId="0" applyNumberFormat="1" applyFont="1"/>
    <xf numFmtId="0" fontId="0" fillId="33" borderId="13" xfId="0" applyFill="1" applyBorder="1"/>
    <xf numFmtId="44" fontId="0" fillId="33" borderId="13" xfId="0" applyNumberFormat="1" applyFill="1" applyBorder="1"/>
    <xf numFmtId="164" fontId="16" fillId="41" borderId="0" xfId="0" applyNumberFormat="1" applyFont="1" applyFill="1" applyBorder="1"/>
    <xf numFmtId="164" fontId="0" fillId="36" borderId="0" xfId="0" applyNumberFormat="1" applyFill="1"/>
    <xf numFmtId="0" fontId="0" fillId="36" borderId="0" xfId="0" applyFill="1"/>
    <xf numFmtId="164" fontId="16" fillId="46" borderId="0" xfId="0" applyNumberFormat="1" applyFont="1" applyFill="1" applyBorder="1"/>
    <xf numFmtId="164" fontId="0" fillId="46" borderId="10" xfId="0" applyNumberFormat="1" applyFill="1" applyBorder="1"/>
    <xf numFmtId="164" fontId="18" fillId="46" borderId="0" xfId="0" applyNumberFormat="1" applyFont="1" applyFill="1"/>
    <xf numFmtId="164" fontId="18" fillId="46" borderId="0" xfId="0" applyNumberFormat="1" applyFont="1" applyFill="1" applyBorder="1"/>
    <xf numFmtId="164" fontId="16" fillId="46" borderId="0" xfId="0" applyNumberFormat="1" applyFont="1" applyFill="1"/>
    <xf numFmtId="164" fontId="0" fillId="46" borderId="0" xfId="0" applyNumberFormat="1" applyFill="1"/>
    <xf numFmtId="164" fontId="0" fillId="46" borderId="10" xfId="0" applyNumberFormat="1" applyFont="1" applyFill="1" applyBorder="1"/>
    <xf numFmtId="164" fontId="0" fillId="46" borderId="0" xfId="0" applyNumberFormat="1" applyFill="1" applyBorder="1"/>
    <xf numFmtId="164" fontId="16" fillId="46" borderId="10" xfId="0" applyNumberFormat="1" applyFont="1" applyFill="1" applyBorder="1"/>
    <xf numFmtId="0" fontId="0" fillId="46" borderId="0" xfId="0" applyFill="1"/>
    <xf numFmtId="0" fontId="0" fillId="42" borderId="0" xfId="0" applyFill="1"/>
    <xf numFmtId="0" fontId="16" fillId="46" borderId="0" xfId="0" applyFont="1" applyFill="1"/>
    <xf numFmtId="164" fontId="16" fillId="41" borderId="20" xfId="0" applyNumberFormat="1" applyFont="1" applyFill="1" applyBorder="1"/>
    <xf numFmtId="164" fontId="17" fillId="36" borderId="0" xfId="0" applyNumberFormat="1" applyFont="1" applyFill="1"/>
    <xf numFmtId="0" fontId="16" fillId="36" borderId="0" xfId="0" applyFont="1" applyFill="1"/>
    <xf numFmtId="164" fontId="16" fillId="0" borderId="25" xfId="0" applyNumberFormat="1" applyFont="1" applyFill="1" applyBorder="1"/>
    <xf numFmtId="164" fontId="14" fillId="46" borderId="10" xfId="0" applyNumberFormat="1" applyFont="1" applyFill="1" applyBorder="1"/>
    <xf numFmtId="0" fontId="0" fillId="36" borderId="10" xfId="0" applyFill="1" applyBorder="1"/>
    <xf numFmtId="164" fontId="0" fillId="37" borderId="11" xfId="0" applyNumberFormat="1" applyFill="1" applyBorder="1"/>
    <xf numFmtId="164" fontId="25" fillId="46" borderId="0" xfId="0" applyNumberFormat="1" applyFont="1" applyFill="1" applyBorder="1"/>
    <xf numFmtId="164" fontId="18" fillId="46" borderId="13" xfId="0" applyNumberFormat="1" applyFont="1" applyFill="1" applyBorder="1"/>
    <xf numFmtId="43" fontId="0" fillId="0" borderId="17" xfId="42" applyFont="1" applyFill="1" applyBorder="1"/>
    <xf numFmtId="43" fontId="0" fillId="0" borderId="16" xfId="42" applyFont="1" applyFill="1" applyBorder="1"/>
    <xf numFmtId="43" fontId="16" fillId="0" borderId="10" xfId="42" applyFont="1" applyFill="1" applyBorder="1"/>
    <xf numFmtId="164" fontId="14" fillId="37" borderId="0" xfId="0" applyNumberFormat="1" applyFont="1" applyFill="1"/>
    <xf numFmtId="164" fontId="16" fillId="37" borderId="13" xfId="0" applyNumberFormat="1" applyFont="1" applyFill="1" applyBorder="1"/>
    <xf numFmtId="0" fontId="16" fillId="37" borderId="25" xfId="0" applyFont="1" applyFill="1" applyBorder="1"/>
    <xf numFmtId="164" fontId="26" fillId="38" borderId="10" xfId="0" applyNumberFormat="1" applyFont="1" applyFill="1" applyBorder="1"/>
    <xf numFmtId="164" fontId="0" fillId="47" borderId="13" xfId="0" applyNumberFormat="1" applyFill="1" applyBorder="1"/>
    <xf numFmtId="0" fontId="16" fillId="0" borderId="25" xfId="0" applyFont="1" applyFill="1" applyBorder="1"/>
    <xf numFmtId="44" fontId="0" fillId="41" borderId="0" xfId="0" applyNumberFormat="1" applyFill="1"/>
    <xf numFmtId="164" fontId="14" fillId="37" borderId="0" xfId="0" applyNumberFormat="1" applyFont="1" applyFill="1" applyBorder="1"/>
    <xf numFmtId="0" fontId="16" fillId="42" borderId="20" xfId="0" applyFont="1" applyFill="1" applyBorder="1"/>
    <xf numFmtId="0" fontId="16" fillId="41" borderId="0" xfId="0" applyFont="1" applyFill="1" applyBorder="1"/>
    <xf numFmtId="164" fontId="16" fillId="46" borderId="13" xfId="0" applyNumberFormat="1" applyFont="1" applyFill="1" applyBorder="1"/>
    <xf numFmtId="164" fontId="0" fillId="38" borderId="11" xfId="0" applyNumberFormat="1" applyFill="1" applyBorder="1"/>
    <xf numFmtId="44" fontId="16" fillId="0" borderId="0" xfId="0" applyNumberFormat="1" applyFont="1" applyFill="1"/>
    <xf numFmtId="44" fontId="17" fillId="0" borderId="0" xfId="0" applyNumberFormat="1" applyFont="1" applyFill="1"/>
    <xf numFmtId="0" fontId="17" fillId="0" borderId="0" xfId="0" applyFont="1" applyFill="1"/>
    <xf numFmtId="44" fontId="18" fillId="0" borderId="0" xfId="0" applyNumberFormat="1" applyFont="1" applyBorder="1"/>
    <xf numFmtId="44" fontId="0" fillId="33" borderId="0" xfId="0" applyNumberFormat="1" applyFill="1" applyBorder="1"/>
    <xf numFmtId="44" fontId="0" fillId="46" borderId="0" xfId="0" applyNumberFormat="1" applyFill="1"/>
    <xf numFmtId="44" fontId="16" fillId="46" borderId="13" xfId="0" applyNumberFormat="1" applyFont="1" applyFill="1" applyBorder="1"/>
    <xf numFmtId="44" fontId="0" fillId="37" borderId="0" xfId="0" applyNumberFormat="1" applyFill="1"/>
    <xf numFmtId="44" fontId="16" fillId="37" borderId="13" xfId="0" applyNumberFormat="1" applyFont="1" applyFill="1" applyBorder="1"/>
    <xf numFmtId="44" fontId="16" fillId="33" borderId="13" xfId="0" applyNumberFormat="1" applyFont="1" applyFill="1" applyBorder="1"/>
    <xf numFmtId="44" fontId="0" fillId="47" borderId="0" xfId="0" applyNumberFormat="1" applyFill="1"/>
    <xf numFmtId="44" fontId="18" fillId="37" borderId="14" xfId="0" applyNumberFormat="1" applyFont="1" applyFill="1" applyBorder="1"/>
    <xf numFmtId="44" fontId="18" fillId="37" borderId="13" xfId="0" applyNumberFormat="1" applyFont="1" applyFill="1" applyBorder="1"/>
    <xf numFmtId="44" fontId="18" fillId="46" borderId="14" xfId="0" applyNumberFormat="1" applyFont="1" applyFill="1" applyBorder="1"/>
    <xf numFmtId="44" fontId="18" fillId="46" borderId="13" xfId="0" applyNumberFormat="1" applyFont="1" applyFill="1" applyBorder="1"/>
    <xf numFmtId="44" fontId="18" fillId="0" borderId="14" xfId="0" applyNumberFormat="1" applyFont="1" applyFill="1" applyBorder="1"/>
    <xf numFmtId="164" fontId="0" fillId="36" borderId="0" xfId="0" applyNumberFormat="1" applyFill="1" applyBorder="1"/>
    <xf numFmtId="164" fontId="0" fillId="0" borderId="0" xfId="0" applyNumberFormat="1" applyFont="1" applyFill="1" applyBorder="1"/>
    <xf numFmtId="164" fontId="0" fillId="36" borderId="0" xfId="0" applyNumberFormat="1" applyFont="1" applyFill="1" applyBorder="1"/>
    <xf numFmtId="164" fontId="0" fillId="0" borderId="0" xfId="0" applyNumberFormat="1" applyFont="1" applyBorder="1"/>
    <xf numFmtId="164" fontId="0" fillId="47" borderId="0" xfId="0" applyNumberFormat="1" applyFill="1"/>
    <xf numFmtId="164" fontId="0" fillId="47" borderId="10" xfId="0" applyNumberFormat="1" applyFill="1" applyBorder="1"/>
    <xf numFmtId="164" fontId="16" fillId="42" borderId="0" xfId="0" applyNumberFormat="1" applyFont="1" applyFill="1" applyBorder="1"/>
    <xf numFmtId="164" fontId="27" fillId="0" borderId="0" xfId="0" applyNumberFormat="1" applyFont="1" applyFill="1"/>
    <xf numFmtId="164" fontId="21" fillId="0" borderId="0" xfId="0" applyNumberFormat="1" applyFont="1" applyFill="1" applyBorder="1"/>
    <xf numFmtId="164" fontId="21" fillId="0" borderId="0" xfId="0" applyNumberFormat="1" applyFont="1" applyFill="1"/>
    <xf numFmtId="0" fontId="21" fillId="0" borderId="0" xfId="0" applyFont="1" applyFill="1"/>
    <xf numFmtId="164" fontId="27" fillId="0" borderId="0" xfId="0" applyNumberFormat="1" applyFont="1"/>
    <xf numFmtId="0" fontId="27" fillId="0" borderId="0" xfId="0" applyFont="1"/>
    <xf numFmtId="164" fontId="21" fillId="0" borderId="0" xfId="0" applyNumberFormat="1" applyFont="1"/>
    <xf numFmtId="0" fontId="0" fillId="0" borderId="0" xfId="0" applyFont="1" applyFill="1" applyBorder="1"/>
    <xf numFmtId="0" fontId="0" fillId="48" borderId="10" xfId="0" applyFill="1" applyBorder="1"/>
    <xf numFmtId="164" fontId="0" fillId="48" borderId="10" xfId="0" applyNumberFormat="1" applyFill="1" applyBorder="1"/>
    <xf numFmtId="164" fontId="14" fillId="48" borderId="10" xfId="0" applyNumberFormat="1" applyFont="1" applyFill="1" applyBorder="1"/>
    <xf numFmtId="164" fontId="17" fillId="48" borderId="0" xfId="0" applyNumberFormat="1" applyFont="1" applyFill="1"/>
    <xf numFmtId="164" fontId="0" fillId="48" borderId="0" xfId="0" applyNumberFormat="1" applyFill="1"/>
    <xf numFmtId="0" fontId="0" fillId="48" borderId="0" xfId="0" applyFill="1"/>
    <xf numFmtId="0" fontId="21" fillId="35" borderId="35" xfId="0" applyFont="1" applyFill="1" applyBorder="1"/>
    <xf numFmtId="43" fontId="21" fillId="35" borderId="36" xfId="42" applyFont="1" applyFill="1" applyBorder="1"/>
    <xf numFmtId="43" fontId="21" fillId="35" borderId="36" xfId="37" applyNumberFormat="1" applyFont="1" applyFill="1" applyBorder="1"/>
    <xf numFmtId="43" fontId="21" fillId="35" borderId="37" xfId="42" applyFont="1" applyFill="1" applyBorder="1"/>
    <xf numFmtId="0" fontId="28" fillId="0" borderId="10" xfId="0" applyFont="1" applyFill="1" applyBorder="1" applyAlignment="1">
      <alignment horizontal="left" vertical="center" wrapText="1"/>
    </xf>
    <xf numFmtId="43" fontId="16" fillId="0" borderId="10" xfId="37" applyNumberFormat="1" applyFont="1" applyFill="1" applyBorder="1"/>
    <xf numFmtId="0" fontId="16" fillId="35" borderId="10" xfId="0" applyFont="1" applyFill="1" applyBorder="1"/>
    <xf numFmtId="43" fontId="16" fillId="35" borderId="10" xfId="42" applyFont="1" applyFill="1" applyBorder="1"/>
    <xf numFmtId="43" fontId="14" fillId="40" borderId="10" xfId="42" applyFont="1" applyFill="1" applyBorder="1"/>
    <xf numFmtId="164" fontId="0" fillId="46" borderId="13" xfId="0" applyNumberFormat="1" applyFill="1" applyBorder="1"/>
    <xf numFmtId="0" fontId="27" fillId="0" borderId="10" xfId="0" applyFont="1" applyFill="1" applyBorder="1"/>
    <xf numFmtId="164" fontId="27" fillId="37" borderId="10" xfId="0" applyNumberFormat="1" applyFont="1" applyFill="1" applyBorder="1"/>
    <xf numFmtId="164" fontId="27" fillId="46" borderId="10" xfId="0" applyNumberFormat="1" applyFont="1" applyFill="1" applyBorder="1"/>
    <xf numFmtId="164" fontId="27" fillId="0" borderId="10" xfId="0" applyNumberFormat="1" applyFont="1" applyFill="1" applyBorder="1"/>
    <xf numFmtId="164" fontId="0" fillId="46" borderId="12" xfId="0" applyNumberFormat="1" applyFill="1" applyBorder="1"/>
    <xf numFmtId="49" fontId="19" fillId="7" borderId="15" xfId="13" applyNumberFormat="1" applyFont="1" applyBorder="1" applyAlignment="1">
      <alignment wrapText="1"/>
    </xf>
    <xf numFmtId="49" fontId="20" fillId="0" borderId="0" xfId="0" applyNumberFormat="1" applyFont="1" applyAlignment="1">
      <alignment wrapText="1"/>
    </xf>
    <xf numFmtId="0" fontId="13" fillId="7" borderId="10" xfId="13" applyFont="1" applyBorder="1"/>
    <xf numFmtId="43" fontId="16" fillId="0" borderId="17" xfId="42" applyFont="1" applyBorder="1"/>
    <xf numFmtId="43" fontId="18" fillId="0" borderId="10" xfId="42" applyFont="1" applyBorder="1"/>
    <xf numFmtId="43" fontId="18" fillId="7" borderId="10" xfId="13" applyNumberFormat="1" applyFont="1" applyBorder="1"/>
    <xf numFmtId="0" fontId="18" fillId="0" borderId="10" xfId="0" applyFont="1" applyBorder="1"/>
    <xf numFmtId="0" fontId="18" fillId="35" borderId="36" xfId="0" applyFont="1" applyFill="1" applyBorder="1"/>
    <xf numFmtId="0" fontId="18" fillId="0" borderId="16" xfId="0" applyFont="1" applyBorder="1"/>
    <xf numFmtId="0" fontId="18" fillId="35" borderId="10" xfId="0" applyFont="1" applyFill="1" applyBorder="1"/>
    <xf numFmtId="164" fontId="21" fillId="0" borderId="0" xfId="0" applyNumberFormat="1" applyFont="1" applyBorder="1"/>
    <xf numFmtId="164" fontId="16" fillId="0" borderId="18" xfId="0" applyNumberFormat="1" applyFont="1" applyFill="1" applyBorder="1"/>
    <xf numFmtId="0" fontId="16" fillId="0" borderId="20" xfId="0" applyFont="1" applyFill="1" applyBorder="1"/>
    <xf numFmtId="0" fontId="29" fillId="0" borderId="10" xfId="0" applyFont="1" applyFill="1" applyBorder="1" applyAlignment="1">
      <alignment horizontal="left" vertical="center" wrapText="1"/>
    </xf>
    <xf numFmtId="43" fontId="0" fillId="40" borderId="0" xfId="42" applyFont="1" applyFill="1"/>
    <xf numFmtId="0" fontId="16" fillId="33" borderId="10" xfId="0" applyFont="1" applyFill="1" applyBorder="1"/>
    <xf numFmtId="164" fontId="16" fillId="33" borderId="10" xfId="0" applyNumberFormat="1" applyFont="1" applyFill="1" applyBorder="1"/>
    <xf numFmtId="0" fontId="18" fillId="33" borderId="10" xfId="0" applyFont="1" applyFill="1" applyBorder="1"/>
    <xf numFmtId="0" fontId="18" fillId="0" borderId="10" xfId="0" applyFont="1" applyFill="1" applyBorder="1"/>
    <xf numFmtId="164" fontId="18" fillId="33" borderId="10" xfId="0" applyNumberFormat="1" applyFont="1" applyFill="1" applyBorder="1"/>
    <xf numFmtId="164" fontId="18" fillId="33" borderId="17" xfId="0" applyNumberFormat="1" applyFont="1" applyFill="1" applyBorder="1"/>
    <xf numFmtId="164" fontId="16" fillId="33" borderId="17" xfId="0" applyNumberFormat="1" applyFont="1" applyFill="1" applyBorder="1"/>
    <xf numFmtId="164" fontId="18" fillId="0" borderId="25" xfId="0" applyNumberFormat="1" applyFont="1" applyBorder="1"/>
    <xf numFmtId="164" fontId="16" fillId="33" borderId="41" xfId="0" applyNumberFormat="1" applyFont="1" applyFill="1" applyBorder="1"/>
    <xf numFmtId="164" fontId="0" fillId="0" borderId="29" xfId="0" applyNumberFormat="1" applyFill="1" applyBorder="1"/>
    <xf numFmtId="164" fontId="18" fillId="0" borderId="31" xfId="0" applyNumberFormat="1" applyFont="1" applyFill="1" applyBorder="1"/>
    <xf numFmtId="164" fontId="0" fillId="46" borderId="29" xfId="0" applyNumberFormat="1" applyFill="1" applyBorder="1"/>
    <xf numFmtId="0" fontId="30" fillId="0" borderId="0" xfId="0" applyFont="1"/>
    <xf numFmtId="164" fontId="30" fillId="0" borderId="29" xfId="0" applyNumberFormat="1" applyFont="1" applyBorder="1"/>
    <xf numFmtId="164" fontId="30" fillId="33" borderId="0" xfId="0" applyNumberFormat="1" applyFont="1" applyFill="1" applyBorder="1"/>
    <xf numFmtId="164" fontId="30" fillId="0" borderId="30" xfId="0" applyNumberFormat="1" applyFont="1" applyBorder="1"/>
    <xf numFmtId="164" fontId="30" fillId="0" borderId="0" xfId="0" applyNumberFormat="1" applyFont="1" applyFill="1" applyBorder="1"/>
    <xf numFmtId="164" fontId="30" fillId="0" borderId="29" xfId="0" applyNumberFormat="1" applyFont="1" applyFill="1" applyBorder="1"/>
    <xf numFmtId="164" fontId="0" fillId="33" borderId="0" xfId="0" applyNumberFormat="1" applyFill="1"/>
    <xf numFmtId="164" fontId="0" fillId="50" borderId="0" xfId="0" applyNumberFormat="1" applyFill="1"/>
    <xf numFmtId="0" fontId="14" fillId="33" borderId="0" xfId="0" applyFont="1" applyFill="1"/>
    <xf numFmtId="164" fontId="14" fillId="33" borderId="25" xfId="0" applyNumberFormat="1" applyFont="1" applyFill="1" applyBorder="1"/>
    <xf numFmtId="43" fontId="18" fillId="40" borderId="10" xfId="42" applyFont="1" applyFill="1" applyBorder="1"/>
    <xf numFmtId="0" fontId="0" fillId="0" borderId="41" xfId="0" applyFill="1" applyBorder="1"/>
    <xf numFmtId="9" fontId="0" fillId="0" borderId="0" xfId="43" applyFont="1"/>
    <xf numFmtId="10" fontId="0" fillId="0" borderId="0" xfId="43" applyNumberFormat="1" applyFont="1"/>
    <xf numFmtId="0" fontId="0" fillId="33" borderId="41" xfId="0" applyFill="1" applyBorder="1"/>
    <xf numFmtId="0" fontId="27" fillId="33" borderId="10" xfId="0" applyFont="1" applyFill="1" applyBorder="1"/>
    <xf numFmtId="164" fontId="27" fillId="33" borderId="10" xfId="0" applyNumberFormat="1" applyFont="1" applyFill="1" applyBorder="1"/>
    <xf numFmtId="0" fontId="0" fillId="33" borderId="0" xfId="0" applyFill="1" applyBorder="1"/>
    <xf numFmtId="164" fontId="18" fillId="33" borderId="0" xfId="0" applyNumberFormat="1" applyFont="1" applyFill="1" applyBorder="1"/>
    <xf numFmtId="164" fontId="0" fillId="50" borderId="10" xfId="0" applyNumberFormat="1" applyFill="1" applyBorder="1"/>
    <xf numFmtId="164" fontId="0" fillId="51" borderId="10" xfId="0" applyNumberFormat="1" applyFill="1" applyBorder="1"/>
    <xf numFmtId="164" fontId="0" fillId="52" borderId="10" xfId="0" applyNumberFormat="1" applyFill="1" applyBorder="1"/>
    <xf numFmtId="164" fontId="0" fillId="52" borderId="0" xfId="0" applyNumberFormat="1" applyFill="1"/>
    <xf numFmtId="10" fontId="16" fillId="0" borderId="0" xfId="43" applyNumberFormat="1" applyFont="1"/>
    <xf numFmtId="10" fontId="16" fillId="0" borderId="22" xfId="43" applyNumberFormat="1" applyFont="1" applyBorder="1"/>
    <xf numFmtId="10" fontId="18" fillId="0" borderId="0" xfId="43" applyNumberFormat="1" applyFont="1"/>
    <xf numFmtId="10" fontId="16" fillId="0" borderId="0" xfId="43" applyNumberFormat="1" applyFont="1" applyBorder="1"/>
    <xf numFmtId="10" fontId="18" fillId="0" borderId="0" xfId="43" applyNumberFormat="1" applyFont="1" applyBorder="1"/>
    <xf numFmtId="0" fontId="16" fillId="41" borderId="18" xfId="0" applyFont="1" applyFill="1" applyBorder="1" applyAlignment="1">
      <alignment horizontal="center"/>
    </xf>
    <xf numFmtId="0" fontId="16" fillId="41" borderId="19" xfId="0" applyFont="1" applyFill="1" applyBorder="1" applyAlignment="1">
      <alignment horizontal="center"/>
    </xf>
    <xf numFmtId="0" fontId="16" fillId="41" borderId="20" xfId="0" applyFont="1" applyFill="1" applyBorder="1" applyAlignment="1">
      <alignment horizontal="center"/>
    </xf>
    <xf numFmtId="49" fontId="19" fillId="49" borderId="39" xfId="42" applyNumberFormat="1" applyFont="1" applyFill="1" applyBorder="1" applyAlignment="1">
      <alignment horizontal="center" wrapText="1"/>
    </xf>
    <xf numFmtId="49" fontId="19" fillId="49" borderId="40" xfId="42" applyNumberFormat="1" applyFont="1" applyFill="1" applyBorder="1" applyAlignment="1">
      <alignment horizontal="center" wrapText="1"/>
    </xf>
    <xf numFmtId="49" fontId="19" fillId="49" borderId="38" xfId="13" applyNumberFormat="1" applyFont="1" applyFill="1" applyBorder="1" applyAlignment="1">
      <alignment horizontal="center" wrapText="1"/>
    </xf>
    <xf numFmtId="49" fontId="19" fillId="49" borderId="16" xfId="13" applyNumberFormat="1" applyFont="1" applyFill="1" applyBorder="1" applyAlignment="1">
      <alignment horizontal="center" wrapText="1"/>
    </xf>
    <xf numFmtId="49" fontId="19" fillId="49" borderId="38" xfId="37" applyNumberFormat="1" applyFont="1" applyFill="1" applyBorder="1" applyAlignment="1">
      <alignment horizontal="center" wrapText="1"/>
    </xf>
    <xf numFmtId="49" fontId="19" fillId="49" borderId="16" xfId="37" applyNumberFormat="1" applyFont="1" applyFill="1" applyBorder="1" applyAlignment="1">
      <alignment horizontal="center" wrapText="1"/>
    </xf>
    <xf numFmtId="49" fontId="19" fillId="49" borderId="38" xfId="42" applyNumberFormat="1" applyFont="1" applyFill="1" applyBorder="1" applyAlignment="1">
      <alignment horizontal="center" wrapText="1"/>
    </xf>
    <xf numFmtId="49" fontId="19" fillId="49" borderId="16" xfId="42" applyNumberFormat="1" applyFon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58"/>
  <sheetViews>
    <sheetView topLeftCell="F732" workbookViewId="0">
      <selection activeCell="P758" sqref="P758"/>
    </sheetView>
  </sheetViews>
  <sheetFormatPr defaultRowHeight="15"/>
  <cols>
    <col min="4" max="4" width="35.85546875" bestFit="1" customWidth="1"/>
    <col min="6" max="6" width="12.7109375" bestFit="1" customWidth="1"/>
    <col min="9" max="9" width="15.85546875" bestFit="1" customWidth="1"/>
  </cols>
  <sheetData>
    <row r="2" spans="1:16">
      <c r="A2" t="s">
        <v>0</v>
      </c>
    </row>
    <row r="3" spans="1:16">
      <c r="A3" t="s">
        <v>1</v>
      </c>
    </row>
    <row r="4" spans="1:16">
      <c r="A4" t="s">
        <v>2</v>
      </c>
    </row>
    <row r="5" spans="1:16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H5" t="s">
        <v>9</v>
      </c>
      <c r="I5" t="s">
        <v>10</v>
      </c>
      <c r="K5" t="s">
        <v>11</v>
      </c>
      <c r="L5" t="s">
        <v>12</v>
      </c>
      <c r="N5" t="s">
        <v>13</v>
      </c>
      <c r="P5" t="s">
        <v>14</v>
      </c>
    </row>
    <row r="6" spans="1:16">
      <c r="A6" t="s">
        <v>15</v>
      </c>
      <c r="B6">
        <v>219</v>
      </c>
      <c r="C6">
        <v>1</v>
      </c>
      <c r="D6" t="s">
        <v>16</v>
      </c>
      <c r="E6" t="s">
        <v>17</v>
      </c>
      <c r="F6">
        <v>810266.62</v>
      </c>
      <c r="H6">
        <v>0</v>
      </c>
      <c r="I6">
        <v>0</v>
      </c>
      <c r="K6">
        <v>563954.65</v>
      </c>
      <c r="L6">
        <v>0</v>
      </c>
      <c r="N6">
        <v>246311.97</v>
      </c>
      <c r="P6" t="s">
        <v>18</v>
      </c>
    </row>
    <row r="7" spans="1:16">
      <c r="A7" t="s">
        <v>15</v>
      </c>
      <c r="B7">
        <v>219</v>
      </c>
      <c r="C7">
        <v>6</v>
      </c>
      <c r="D7" t="s">
        <v>19</v>
      </c>
      <c r="E7" t="s">
        <v>17</v>
      </c>
      <c r="F7">
        <v>56646</v>
      </c>
      <c r="H7">
        <v>0</v>
      </c>
      <c r="I7">
        <v>0</v>
      </c>
      <c r="K7">
        <v>40283.4</v>
      </c>
      <c r="L7">
        <v>0</v>
      </c>
      <c r="N7">
        <v>16362.6</v>
      </c>
      <c r="P7" t="s">
        <v>20</v>
      </c>
    </row>
    <row r="8" spans="1:16">
      <c r="A8" t="s">
        <v>15</v>
      </c>
      <c r="B8">
        <v>219</v>
      </c>
      <c r="C8">
        <v>8</v>
      </c>
      <c r="D8" t="s">
        <v>21</v>
      </c>
      <c r="E8" t="s">
        <v>17</v>
      </c>
      <c r="F8">
        <v>3272.94</v>
      </c>
      <c r="H8">
        <v>0</v>
      </c>
      <c r="I8">
        <v>0</v>
      </c>
      <c r="K8">
        <v>1952.45</v>
      </c>
      <c r="L8">
        <v>0</v>
      </c>
      <c r="N8">
        <v>1320.49</v>
      </c>
    </row>
    <row r="9" spans="1:16">
      <c r="A9" t="s">
        <v>15</v>
      </c>
      <c r="B9">
        <v>219</v>
      </c>
      <c r="C9">
        <v>10</v>
      </c>
      <c r="D9" t="s">
        <v>22</v>
      </c>
      <c r="E9" t="s">
        <v>17</v>
      </c>
      <c r="F9">
        <v>203046.66</v>
      </c>
      <c r="H9">
        <v>0</v>
      </c>
      <c r="I9">
        <v>0</v>
      </c>
      <c r="K9">
        <v>120883.38</v>
      </c>
      <c r="L9">
        <v>0</v>
      </c>
      <c r="N9">
        <v>82163.28</v>
      </c>
      <c r="P9" t="s">
        <v>23</v>
      </c>
    </row>
    <row r="10" spans="1:16">
      <c r="A10" t="s">
        <v>15</v>
      </c>
      <c r="B10">
        <v>219</v>
      </c>
      <c r="C10">
        <v>11</v>
      </c>
      <c r="D10" t="s">
        <v>24</v>
      </c>
      <c r="E10" t="s">
        <v>17</v>
      </c>
      <c r="F10">
        <v>15870.06</v>
      </c>
      <c r="H10">
        <v>0</v>
      </c>
      <c r="I10">
        <v>0</v>
      </c>
      <c r="K10">
        <v>7935.03</v>
      </c>
      <c r="L10">
        <v>0</v>
      </c>
      <c r="N10">
        <v>7935.03</v>
      </c>
    </row>
    <row r="11" spans="1:16">
      <c r="A11" t="s">
        <v>15</v>
      </c>
      <c r="B11">
        <v>219</v>
      </c>
      <c r="C11">
        <v>14</v>
      </c>
      <c r="D11" t="s">
        <v>25</v>
      </c>
      <c r="E11" t="s">
        <v>17</v>
      </c>
      <c r="F11">
        <v>104829</v>
      </c>
      <c r="H11">
        <v>0</v>
      </c>
      <c r="I11">
        <v>0</v>
      </c>
      <c r="K11">
        <v>73885.5</v>
      </c>
      <c r="L11">
        <v>0</v>
      </c>
      <c r="N11">
        <v>30943.5</v>
      </c>
      <c r="P11" t="s">
        <v>26</v>
      </c>
    </row>
    <row r="12" spans="1:16">
      <c r="A12" t="s">
        <v>15</v>
      </c>
      <c r="B12">
        <v>219</v>
      </c>
      <c r="C12">
        <v>16</v>
      </c>
      <c r="D12" t="s">
        <v>27</v>
      </c>
      <c r="E12" t="s">
        <v>17</v>
      </c>
      <c r="F12">
        <v>7758.04</v>
      </c>
      <c r="H12">
        <v>0</v>
      </c>
      <c r="I12">
        <v>0</v>
      </c>
      <c r="K12">
        <v>5347.27</v>
      </c>
      <c r="L12">
        <v>0</v>
      </c>
      <c r="N12">
        <v>2410.77</v>
      </c>
      <c r="P12" t="s">
        <v>28</v>
      </c>
    </row>
    <row r="13" spans="1:16">
      <c r="A13" t="s">
        <v>15</v>
      </c>
      <c r="B13">
        <v>219</v>
      </c>
      <c r="C13">
        <v>17</v>
      </c>
      <c r="D13" t="s">
        <v>29</v>
      </c>
      <c r="E13" t="s">
        <v>17</v>
      </c>
      <c r="F13">
        <v>3762</v>
      </c>
      <c r="H13">
        <v>0</v>
      </c>
      <c r="I13">
        <v>0</v>
      </c>
      <c r="K13">
        <v>2633.4</v>
      </c>
      <c r="L13">
        <v>0</v>
      </c>
      <c r="N13">
        <v>1128.5999999999999</v>
      </c>
      <c r="P13" t="s">
        <v>30</v>
      </c>
    </row>
    <row r="14" spans="1:16">
      <c r="A14" t="s">
        <v>15</v>
      </c>
      <c r="B14">
        <v>219</v>
      </c>
      <c r="C14">
        <v>18</v>
      </c>
      <c r="D14" t="s">
        <v>31</v>
      </c>
      <c r="E14" t="s">
        <v>17</v>
      </c>
      <c r="F14">
        <v>38878.28</v>
      </c>
      <c r="H14">
        <v>0</v>
      </c>
      <c r="I14">
        <v>0</v>
      </c>
      <c r="K14">
        <v>19439.14</v>
      </c>
      <c r="L14">
        <v>0</v>
      </c>
      <c r="N14">
        <v>19439.14</v>
      </c>
      <c r="P14" t="s">
        <v>32</v>
      </c>
    </row>
    <row r="15" spans="1:16">
      <c r="A15" t="s">
        <v>15</v>
      </c>
      <c r="B15">
        <v>219</v>
      </c>
      <c r="C15">
        <v>102</v>
      </c>
      <c r="D15" t="s">
        <v>33</v>
      </c>
      <c r="E15" t="s">
        <v>17</v>
      </c>
      <c r="F15">
        <v>9528.1200000000008</v>
      </c>
      <c r="H15">
        <v>0</v>
      </c>
      <c r="I15">
        <v>0</v>
      </c>
      <c r="K15">
        <v>6535.2</v>
      </c>
      <c r="L15">
        <v>0</v>
      </c>
      <c r="N15">
        <v>2992.92</v>
      </c>
    </row>
    <row r="16" spans="1:16">
      <c r="A16" t="s">
        <v>15</v>
      </c>
      <c r="B16">
        <v>219</v>
      </c>
      <c r="C16">
        <v>104</v>
      </c>
      <c r="D16" t="s">
        <v>34</v>
      </c>
      <c r="E16" t="s">
        <v>17</v>
      </c>
      <c r="F16">
        <v>406.8</v>
      </c>
      <c r="H16">
        <v>0</v>
      </c>
      <c r="I16">
        <v>0</v>
      </c>
      <c r="K16">
        <v>284.76</v>
      </c>
      <c r="L16">
        <v>0</v>
      </c>
      <c r="N16">
        <v>122.04</v>
      </c>
      <c r="P16" t="s">
        <v>35</v>
      </c>
    </row>
    <row r="17" spans="1:16">
      <c r="A17" t="s">
        <v>15</v>
      </c>
      <c r="B17">
        <v>219</v>
      </c>
      <c r="C17">
        <v>193</v>
      </c>
      <c r="D17" t="s">
        <v>36</v>
      </c>
      <c r="E17" t="s">
        <v>17</v>
      </c>
      <c r="F17">
        <v>150000</v>
      </c>
      <c r="H17">
        <v>0</v>
      </c>
      <c r="I17">
        <v>0</v>
      </c>
      <c r="K17">
        <v>0</v>
      </c>
      <c r="L17">
        <v>0</v>
      </c>
      <c r="N17">
        <v>150000</v>
      </c>
      <c r="P17" t="s">
        <v>37</v>
      </c>
    </row>
    <row r="18" spans="1:16">
      <c r="A18" t="s">
        <v>15</v>
      </c>
      <c r="B18">
        <v>219</v>
      </c>
      <c r="C18">
        <v>195</v>
      </c>
      <c r="D18" t="s">
        <v>38</v>
      </c>
      <c r="E18" t="s">
        <v>17</v>
      </c>
      <c r="F18">
        <v>45000</v>
      </c>
      <c r="H18">
        <v>0</v>
      </c>
      <c r="I18">
        <v>0</v>
      </c>
      <c r="K18">
        <v>19153.259999999998</v>
      </c>
      <c r="L18">
        <v>0</v>
      </c>
      <c r="N18">
        <v>25846.74</v>
      </c>
      <c r="P18" t="s">
        <v>39</v>
      </c>
    </row>
    <row r="19" spans="1:16">
      <c r="A19" t="s">
        <v>15</v>
      </c>
      <c r="B19">
        <v>219</v>
      </c>
      <c r="C19">
        <v>201</v>
      </c>
      <c r="D19" t="s">
        <v>40</v>
      </c>
      <c r="E19" t="s">
        <v>17</v>
      </c>
      <c r="F19">
        <v>15000</v>
      </c>
      <c r="H19">
        <v>0</v>
      </c>
      <c r="I19">
        <v>0</v>
      </c>
      <c r="K19">
        <v>0</v>
      </c>
      <c r="L19">
        <v>0</v>
      </c>
      <c r="N19">
        <v>15000</v>
      </c>
      <c r="P19" t="s">
        <v>41</v>
      </c>
    </row>
    <row r="20" spans="1:16">
      <c r="A20" t="s">
        <v>15</v>
      </c>
      <c r="B20">
        <v>219</v>
      </c>
      <c r="C20">
        <v>204</v>
      </c>
      <c r="D20" t="s">
        <v>42</v>
      </c>
      <c r="E20" t="s">
        <v>17</v>
      </c>
      <c r="F20">
        <v>60000</v>
      </c>
      <c r="H20">
        <v>0</v>
      </c>
      <c r="I20">
        <v>0</v>
      </c>
      <c r="K20">
        <v>3898.62</v>
      </c>
      <c r="L20">
        <v>0</v>
      </c>
      <c r="N20">
        <v>56101.38</v>
      </c>
      <c r="P20" t="s">
        <v>43</v>
      </c>
    </row>
    <row r="21" spans="1:16">
      <c r="A21" t="s">
        <v>15</v>
      </c>
      <c r="B21">
        <v>219</v>
      </c>
      <c r="C21">
        <v>210</v>
      </c>
      <c r="D21" t="s">
        <v>44</v>
      </c>
      <c r="E21" t="s">
        <v>17</v>
      </c>
      <c r="F21">
        <v>15000</v>
      </c>
      <c r="H21">
        <v>0</v>
      </c>
      <c r="I21">
        <v>0</v>
      </c>
      <c r="K21">
        <v>0</v>
      </c>
      <c r="L21">
        <v>0</v>
      </c>
      <c r="N21">
        <v>15000</v>
      </c>
    </row>
    <row r="22" spans="1:16">
      <c r="A22" t="s">
        <v>15</v>
      </c>
      <c r="B22">
        <v>219</v>
      </c>
      <c r="C22">
        <v>8817</v>
      </c>
      <c r="D22" t="s">
        <v>45</v>
      </c>
      <c r="E22" t="s">
        <v>46</v>
      </c>
      <c r="F22">
        <v>-30000</v>
      </c>
      <c r="H22">
        <v>0</v>
      </c>
      <c r="I22">
        <v>0</v>
      </c>
      <c r="K22">
        <v>0</v>
      </c>
      <c r="L22">
        <v>-3214.86</v>
      </c>
      <c r="N22">
        <v>-26785.14</v>
      </c>
      <c r="P22" t="s">
        <v>47</v>
      </c>
    </row>
    <row r="23" spans="1:16">
      <c r="A23" t="s">
        <v>15</v>
      </c>
      <c r="B23">
        <v>219</v>
      </c>
      <c r="C23">
        <v>8868</v>
      </c>
      <c r="D23" t="s">
        <v>48</v>
      </c>
      <c r="E23" t="s">
        <v>46</v>
      </c>
      <c r="F23">
        <v>0</v>
      </c>
      <c r="H23">
        <v>0</v>
      </c>
      <c r="I23">
        <v>0</v>
      </c>
      <c r="K23">
        <v>0</v>
      </c>
      <c r="L23">
        <v>-609.5</v>
      </c>
      <c r="N23">
        <v>609.5</v>
      </c>
    </row>
    <row r="24" spans="1:16">
      <c r="A24" t="s">
        <v>15</v>
      </c>
      <c r="B24">
        <v>219</v>
      </c>
      <c r="C24">
        <v>8875</v>
      </c>
      <c r="D24" t="s">
        <v>49</v>
      </c>
      <c r="E24" t="s">
        <v>46</v>
      </c>
      <c r="F24">
        <v>-1986406.9</v>
      </c>
      <c r="H24">
        <v>0</v>
      </c>
      <c r="I24">
        <v>0</v>
      </c>
      <c r="K24">
        <v>0</v>
      </c>
      <c r="L24">
        <v>0</v>
      </c>
      <c r="N24">
        <v>-1986406.9</v>
      </c>
    </row>
    <row r="25" spans="1:16">
      <c r="C25" t="s">
        <v>50</v>
      </c>
      <c r="D25" t="s">
        <v>51</v>
      </c>
      <c r="F25" t="s">
        <v>52</v>
      </c>
      <c r="G25">
        <v>-477142.38</v>
      </c>
      <c r="I25">
        <v>0</v>
      </c>
      <c r="J25">
        <v>0</v>
      </c>
      <c r="L25">
        <v>866186.06</v>
      </c>
      <c r="M25">
        <v>-3824.36</v>
      </c>
      <c r="O25">
        <v>-1339504.08</v>
      </c>
    </row>
    <row r="26" spans="1:16">
      <c r="H26" t="s">
        <v>53</v>
      </c>
      <c r="I26">
        <v>0</v>
      </c>
      <c r="K26" t="s">
        <v>54</v>
      </c>
      <c r="L26">
        <v>862361.7</v>
      </c>
    </row>
    <row r="28" spans="1:16">
      <c r="A28" t="s">
        <v>15</v>
      </c>
      <c r="B28">
        <v>220</v>
      </c>
      <c r="C28">
        <v>1</v>
      </c>
      <c r="D28" t="s">
        <v>16</v>
      </c>
      <c r="E28" t="s">
        <v>17</v>
      </c>
      <c r="F28">
        <v>1801442.48</v>
      </c>
      <c r="H28">
        <v>0</v>
      </c>
      <c r="I28">
        <v>0</v>
      </c>
      <c r="K28">
        <v>1235799.3799999999</v>
      </c>
      <c r="L28">
        <v>0</v>
      </c>
      <c r="N28">
        <v>565643.1</v>
      </c>
      <c r="P28" t="s">
        <v>55</v>
      </c>
    </row>
    <row r="29" spans="1:16">
      <c r="A29" t="s">
        <v>15</v>
      </c>
      <c r="B29">
        <v>220</v>
      </c>
      <c r="C29">
        <v>3</v>
      </c>
      <c r="D29" t="s">
        <v>56</v>
      </c>
      <c r="E29" t="s">
        <v>17</v>
      </c>
      <c r="F29">
        <v>54220</v>
      </c>
      <c r="H29">
        <v>0</v>
      </c>
      <c r="I29">
        <v>0</v>
      </c>
      <c r="K29">
        <v>41200</v>
      </c>
      <c r="L29">
        <v>0</v>
      </c>
      <c r="N29">
        <v>13020</v>
      </c>
      <c r="P29" t="s">
        <v>57</v>
      </c>
    </row>
    <row r="30" spans="1:16">
      <c r="A30" t="s">
        <v>15</v>
      </c>
      <c r="B30">
        <v>220</v>
      </c>
      <c r="C30">
        <v>4</v>
      </c>
      <c r="D30" t="s">
        <v>58</v>
      </c>
      <c r="E30" t="s">
        <v>17</v>
      </c>
      <c r="F30">
        <v>6987.6</v>
      </c>
      <c r="H30">
        <v>0</v>
      </c>
      <c r="I30">
        <v>0</v>
      </c>
      <c r="K30">
        <v>5000.92</v>
      </c>
      <c r="L30">
        <v>0</v>
      </c>
      <c r="N30">
        <v>1986.68</v>
      </c>
      <c r="P30" t="s">
        <v>59</v>
      </c>
    </row>
    <row r="31" spans="1:16">
      <c r="A31" t="s">
        <v>15</v>
      </c>
      <c r="B31">
        <v>220</v>
      </c>
      <c r="C31">
        <v>6</v>
      </c>
      <c r="D31" t="s">
        <v>19</v>
      </c>
      <c r="E31" t="s">
        <v>17</v>
      </c>
      <c r="F31">
        <v>660628.06000000006</v>
      </c>
      <c r="H31">
        <v>0</v>
      </c>
      <c r="I31">
        <v>0</v>
      </c>
      <c r="K31">
        <v>377890.56</v>
      </c>
      <c r="L31">
        <v>0</v>
      </c>
      <c r="N31">
        <v>282737.5</v>
      </c>
      <c r="P31" t="s">
        <v>60</v>
      </c>
    </row>
    <row r="32" spans="1:16">
      <c r="A32" t="s">
        <v>15</v>
      </c>
      <c r="B32">
        <v>220</v>
      </c>
      <c r="C32">
        <v>10</v>
      </c>
      <c r="D32" t="s">
        <v>22</v>
      </c>
      <c r="E32" t="s">
        <v>17</v>
      </c>
      <c r="F32">
        <v>311651.3</v>
      </c>
      <c r="H32">
        <v>0</v>
      </c>
      <c r="I32">
        <v>0</v>
      </c>
      <c r="K32">
        <v>214511.3</v>
      </c>
      <c r="L32">
        <v>0</v>
      </c>
      <c r="N32">
        <v>97140</v>
      </c>
      <c r="P32" t="s">
        <v>61</v>
      </c>
    </row>
    <row r="33" spans="1:16">
      <c r="A33" t="s">
        <v>15</v>
      </c>
      <c r="B33">
        <v>220</v>
      </c>
      <c r="C33">
        <v>14</v>
      </c>
      <c r="D33" t="s">
        <v>25</v>
      </c>
      <c r="E33" t="s">
        <v>17</v>
      </c>
      <c r="F33">
        <v>347273.5</v>
      </c>
      <c r="H33">
        <v>0</v>
      </c>
      <c r="I33">
        <v>0</v>
      </c>
      <c r="K33">
        <v>238939.75</v>
      </c>
      <c r="L33">
        <v>0</v>
      </c>
      <c r="N33">
        <v>108333.75</v>
      </c>
      <c r="P33" t="s">
        <v>62</v>
      </c>
    </row>
    <row r="34" spans="1:16">
      <c r="A34" t="s">
        <v>15</v>
      </c>
      <c r="B34">
        <v>220</v>
      </c>
      <c r="C34">
        <v>16</v>
      </c>
      <c r="D34" t="s">
        <v>27</v>
      </c>
      <c r="E34" t="s">
        <v>17</v>
      </c>
      <c r="F34">
        <v>9630.5</v>
      </c>
      <c r="H34">
        <v>0</v>
      </c>
      <c r="I34">
        <v>0</v>
      </c>
      <c r="K34">
        <v>6599.89</v>
      </c>
      <c r="L34">
        <v>0</v>
      </c>
      <c r="N34">
        <v>3030.61</v>
      </c>
      <c r="P34" t="s">
        <v>63</v>
      </c>
    </row>
    <row r="35" spans="1:16">
      <c r="A35" t="s">
        <v>15</v>
      </c>
      <c r="B35">
        <v>220</v>
      </c>
      <c r="C35">
        <v>17</v>
      </c>
      <c r="D35" t="s">
        <v>29</v>
      </c>
      <c r="E35" t="s">
        <v>17</v>
      </c>
      <c r="F35">
        <v>40181.199999999997</v>
      </c>
      <c r="H35">
        <v>0</v>
      </c>
      <c r="I35">
        <v>0</v>
      </c>
      <c r="K35">
        <v>27947.8</v>
      </c>
      <c r="L35">
        <v>0</v>
      </c>
      <c r="N35">
        <v>12233.4</v>
      </c>
      <c r="P35" t="s">
        <v>64</v>
      </c>
    </row>
    <row r="36" spans="1:16">
      <c r="A36" t="s">
        <v>15</v>
      </c>
      <c r="B36">
        <v>220</v>
      </c>
      <c r="C36">
        <v>18</v>
      </c>
      <c r="D36" t="s">
        <v>31</v>
      </c>
      <c r="E36" t="s">
        <v>17</v>
      </c>
      <c r="F36">
        <v>234048.72</v>
      </c>
      <c r="H36">
        <v>0</v>
      </c>
      <c r="I36">
        <v>0</v>
      </c>
      <c r="K36">
        <v>132332.9</v>
      </c>
      <c r="L36">
        <v>0</v>
      </c>
      <c r="N36">
        <v>101715.82</v>
      </c>
      <c r="P36" t="s">
        <v>65</v>
      </c>
    </row>
    <row r="37" spans="1:16">
      <c r="A37" t="s">
        <v>15</v>
      </c>
      <c r="B37">
        <v>220</v>
      </c>
      <c r="C37">
        <v>102</v>
      </c>
      <c r="D37" t="s">
        <v>66</v>
      </c>
      <c r="E37" t="s">
        <v>17</v>
      </c>
      <c r="F37">
        <v>258214.84</v>
      </c>
      <c r="H37">
        <v>0</v>
      </c>
      <c r="I37">
        <v>0</v>
      </c>
      <c r="K37">
        <v>133343.79999999999</v>
      </c>
      <c r="L37">
        <v>0</v>
      </c>
      <c r="N37">
        <v>124871.03999999999</v>
      </c>
      <c r="P37" t="s">
        <v>67</v>
      </c>
    </row>
    <row r="38" spans="1:16">
      <c r="A38" t="s">
        <v>15</v>
      </c>
      <c r="B38">
        <v>220</v>
      </c>
      <c r="C38">
        <v>104</v>
      </c>
      <c r="D38" t="s">
        <v>34</v>
      </c>
      <c r="E38" t="s">
        <v>17</v>
      </c>
      <c r="F38">
        <v>301.13</v>
      </c>
      <c r="H38">
        <v>0</v>
      </c>
      <c r="I38">
        <v>0</v>
      </c>
      <c r="K38">
        <v>295.31</v>
      </c>
      <c r="L38">
        <v>0</v>
      </c>
      <c r="N38">
        <v>5.82</v>
      </c>
      <c r="P38" t="s">
        <v>68</v>
      </c>
    </row>
    <row r="39" spans="1:16">
      <c r="A39" t="s">
        <v>15</v>
      </c>
      <c r="B39">
        <v>220</v>
      </c>
      <c r="C39">
        <v>171</v>
      </c>
      <c r="D39" t="s">
        <v>69</v>
      </c>
      <c r="E39" t="s">
        <v>17</v>
      </c>
      <c r="F39">
        <v>780000</v>
      </c>
      <c r="H39">
        <v>0</v>
      </c>
      <c r="I39">
        <v>0</v>
      </c>
      <c r="K39">
        <v>546950</v>
      </c>
      <c r="L39">
        <v>0</v>
      </c>
      <c r="N39">
        <v>233050</v>
      </c>
      <c r="P39" t="s">
        <v>70</v>
      </c>
    </row>
    <row r="40" spans="1:16">
      <c r="A40" t="s">
        <v>15</v>
      </c>
      <c r="B40">
        <v>220</v>
      </c>
      <c r="C40">
        <v>175</v>
      </c>
      <c r="D40" t="s">
        <v>71</v>
      </c>
      <c r="E40" t="s">
        <v>17</v>
      </c>
      <c r="F40">
        <v>391108.21</v>
      </c>
      <c r="H40">
        <v>0</v>
      </c>
      <c r="I40">
        <v>0</v>
      </c>
      <c r="K40">
        <v>350617.47</v>
      </c>
      <c r="L40">
        <v>0</v>
      </c>
      <c r="N40">
        <v>40490.74</v>
      </c>
    </row>
    <row r="41" spans="1:16">
      <c r="A41" t="s">
        <v>15</v>
      </c>
      <c r="B41">
        <v>220</v>
      </c>
      <c r="C41">
        <v>178</v>
      </c>
      <c r="D41" t="s">
        <v>72</v>
      </c>
      <c r="E41" t="s">
        <v>17</v>
      </c>
      <c r="F41">
        <v>350000</v>
      </c>
      <c r="H41">
        <v>0</v>
      </c>
      <c r="I41">
        <v>0</v>
      </c>
      <c r="K41">
        <v>0</v>
      </c>
      <c r="L41">
        <v>0</v>
      </c>
      <c r="N41">
        <v>350000</v>
      </c>
    </row>
    <row r="42" spans="1:16">
      <c r="A42" t="s">
        <v>15</v>
      </c>
      <c r="B42">
        <v>220</v>
      </c>
      <c r="C42">
        <v>179</v>
      </c>
      <c r="D42" t="s">
        <v>73</v>
      </c>
      <c r="E42" t="s">
        <v>17</v>
      </c>
      <c r="F42">
        <v>80000</v>
      </c>
      <c r="H42">
        <v>0</v>
      </c>
      <c r="I42">
        <v>0</v>
      </c>
      <c r="K42">
        <v>39518.339999999997</v>
      </c>
      <c r="L42">
        <v>0</v>
      </c>
      <c r="N42">
        <v>40481.660000000003</v>
      </c>
      <c r="P42" t="s">
        <v>74</v>
      </c>
    </row>
    <row r="43" spans="1:16">
      <c r="A43" t="s">
        <v>15</v>
      </c>
      <c r="B43">
        <v>220</v>
      </c>
      <c r="C43">
        <v>183</v>
      </c>
      <c r="D43" t="s">
        <v>75</v>
      </c>
      <c r="E43" t="s">
        <v>17</v>
      </c>
      <c r="F43">
        <v>100000</v>
      </c>
      <c r="H43">
        <v>0</v>
      </c>
      <c r="I43">
        <v>0</v>
      </c>
      <c r="K43">
        <v>36000</v>
      </c>
      <c r="L43">
        <v>0</v>
      </c>
      <c r="N43">
        <v>64000</v>
      </c>
      <c r="P43" t="s">
        <v>76</v>
      </c>
    </row>
    <row r="44" spans="1:16">
      <c r="A44" t="s">
        <v>15</v>
      </c>
      <c r="B44">
        <v>220</v>
      </c>
      <c r="C44">
        <v>193</v>
      </c>
      <c r="D44" t="s">
        <v>36</v>
      </c>
      <c r="E44" t="s">
        <v>17</v>
      </c>
      <c r="F44">
        <v>2000000</v>
      </c>
      <c r="H44">
        <v>0</v>
      </c>
      <c r="I44">
        <v>0</v>
      </c>
      <c r="K44">
        <v>930770.53</v>
      </c>
      <c r="L44">
        <v>0</v>
      </c>
      <c r="N44">
        <v>1069229.47</v>
      </c>
      <c r="P44" t="s">
        <v>77</v>
      </c>
    </row>
    <row r="45" spans="1:16">
      <c r="A45" t="s">
        <v>15</v>
      </c>
      <c r="B45">
        <v>220</v>
      </c>
      <c r="C45">
        <v>195</v>
      </c>
      <c r="D45" t="s">
        <v>38</v>
      </c>
      <c r="E45" t="s">
        <v>17</v>
      </c>
      <c r="F45">
        <v>500000</v>
      </c>
      <c r="H45">
        <v>0</v>
      </c>
      <c r="I45">
        <v>0</v>
      </c>
      <c r="K45">
        <v>294411.49</v>
      </c>
      <c r="L45">
        <v>0</v>
      </c>
      <c r="N45">
        <v>205588.51</v>
      </c>
      <c r="P45" t="s">
        <v>78</v>
      </c>
    </row>
    <row r="46" spans="1:16">
      <c r="A46" t="s">
        <v>15</v>
      </c>
      <c r="B46">
        <v>220</v>
      </c>
      <c r="C46">
        <v>204</v>
      </c>
      <c r="D46" t="s">
        <v>42</v>
      </c>
      <c r="E46" t="s">
        <v>17</v>
      </c>
      <c r="F46">
        <v>410600</v>
      </c>
      <c r="H46">
        <v>0</v>
      </c>
      <c r="I46">
        <v>0</v>
      </c>
      <c r="K46">
        <v>323418.34999999998</v>
      </c>
      <c r="L46">
        <v>0</v>
      </c>
      <c r="N46">
        <v>87181.65</v>
      </c>
      <c r="P46" t="s">
        <v>79</v>
      </c>
    </row>
    <row r="47" spans="1:16">
      <c r="A47" t="s">
        <v>15</v>
      </c>
      <c r="B47">
        <v>220</v>
      </c>
      <c r="C47">
        <v>210</v>
      </c>
      <c r="D47" t="s">
        <v>44</v>
      </c>
      <c r="E47" t="s">
        <v>17</v>
      </c>
      <c r="F47">
        <v>53648.160000000003</v>
      </c>
      <c r="H47">
        <v>0</v>
      </c>
      <c r="I47">
        <v>0</v>
      </c>
      <c r="K47">
        <v>0</v>
      </c>
      <c r="L47">
        <v>0</v>
      </c>
      <c r="N47">
        <v>53648.160000000003</v>
      </c>
    </row>
    <row r="48" spans="1:16">
      <c r="A48" t="s">
        <v>15</v>
      </c>
      <c r="B48">
        <v>220</v>
      </c>
      <c r="C48">
        <v>249</v>
      </c>
      <c r="D48" t="s">
        <v>80</v>
      </c>
      <c r="E48" t="s">
        <v>17</v>
      </c>
      <c r="F48">
        <v>90000</v>
      </c>
      <c r="H48">
        <v>0</v>
      </c>
      <c r="I48">
        <v>0</v>
      </c>
      <c r="K48">
        <v>0</v>
      </c>
      <c r="L48">
        <v>0</v>
      </c>
      <c r="N48">
        <v>90000</v>
      </c>
    </row>
    <row r="49" spans="1:16">
      <c r="A49" t="s">
        <v>15</v>
      </c>
      <c r="B49">
        <v>220</v>
      </c>
      <c r="C49">
        <v>250</v>
      </c>
      <c r="D49" t="s">
        <v>81</v>
      </c>
      <c r="E49" t="s">
        <v>17</v>
      </c>
      <c r="F49">
        <v>150000</v>
      </c>
      <c r="H49">
        <v>0</v>
      </c>
      <c r="I49">
        <v>0</v>
      </c>
      <c r="K49">
        <v>18812.11</v>
      </c>
      <c r="L49">
        <v>0</v>
      </c>
      <c r="N49">
        <v>131187.89000000001</v>
      </c>
    </row>
    <row r="50" spans="1:16">
      <c r="A50" t="s">
        <v>15</v>
      </c>
      <c r="B50">
        <v>220</v>
      </c>
      <c r="C50">
        <v>253</v>
      </c>
      <c r="D50" t="s">
        <v>82</v>
      </c>
      <c r="E50" t="s">
        <v>17</v>
      </c>
      <c r="F50">
        <v>3800000</v>
      </c>
      <c r="H50">
        <v>0</v>
      </c>
      <c r="I50">
        <v>0</v>
      </c>
      <c r="K50">
        <v>1202887.78</v>
      </c>
      <c r="L50">
        <v>0</v>
      </c>
      <c r="N50">
        <v>2597112.2200000002</v>
      </c>
      <c r="P50" t="s">
        <v>83</v>
      </c>
    </row>
    <row r="51" spans="1:16">
      <c r="A51" t="s">
        <v>15</v>
      </c>
      <c r="B51">
        <v>220</v>
      </c>
      <c r="C51">
        <v>8832</v>
      </c>
      <c r="D51" t="s">
        <v>84</v>
      </c>
      <c r="E51" t="s">
        <v>46</v>
      </c>
      <c r="F51">
        <v>-308604.92</v>
      </c>
      <c r="H51">
        <v>0</v>
      </c>
      <c r="I51">
        <v>0</v>
      </c>
      <c r="K51">
        <v>0</v>
      </c>
      <c r="L51">
        <v>0</v>
      </c>
      <c r="N51">
        <v>-308604.92</v>
      </c>
    </row>
    <row r="52" spans="1:16">
      <c r="A52" t="s">
        <v>15</v>
      </c>
      <c r="B52">
        <v>220</v>
      </c>
      <c r="C52">
        <v>8875</v>
      </c>
      <c r="D52" t="s">
        <v>85</v>
      </c>
      <c r="E52" t="s">
        <v>46</v>
      </c>
      <c r="F52">
        <v>-7733952.2800000003</v>
      </c>
      <c r="H52">
        <v>0</v>
      </c>
      <c r="I52">
        <v>0</v>
      </c>
      <c r="K52">
        <v>0</v>
      </c>
      <c r="L52">
        <v>0</v>
      </c>
      <c r="N52">
        <v>-7733952.2800000003</v>
      </c>
    </row>
    <row r="53" spans="1:16">
      <c r="C53" t="s">
        <v>86</v>
      </c>
      <c r="D53" t="s">
        <v>87</v>
      </c>
      <c r="F53" t="s">
        <v>52</v>
      </c>
      <c r="G53">
        <v>4387378.5</v>
      </c>
      <c r="I53">
        <v>0</v>
      </c>
      <c r="J53">
        <v>0</v>
      </c>
      <c r="L53">
        <v>6157247.6799999997</v>
      </c>
      <c r="M53">
        <v>0</v>
      </c>
      <c r="O53">
        <v>-1769869.18</v>
      </c>
    </row>
    <row r="54" spans="1:16">
      <c r="H54" t="s">
        <v>53</v>
      </c>
      <c r="I54">
        <v>0</v>
      </c>
      <c r="K54" t="s">
        <v>54</v>
      </c>
      <c r="L54">
        <v>6157247.6799999997</v>
      </c>
    </row>
    <row r="56" spans="1:16">
      <c r="A56" t="s">
        <v>15</v>
      </c>
      <c r="B56">
        <v>223</v>
      </c>
      <c r="C56">
        <v>1</v>
      </c>
      <c r="D56" t="s">
        <v>16</v>
      </c>
      <c r="E56" t="s">
        <v>17</v>
      </c>
      <c r="F56">
        <v>18000</v>
      </c>
      <c r="H56">
        <v>0</v>
      </c>
      <c r="I56">
        <v>0</v>
      </c>
      <c r="K56">
        <v>9000</v>
      </c>
      <c r="L56">
        <v>0</v>
      </c>
      <c r="N56">
        <v>9000</v>
      </c>
      <c r="P56" t="s">
        <v>88</v>
      </c>
    </row>
    <row r="57" spans="1:16">
      <c r="A57" t="s">
        <v>15</v>
      </c>
      <c r="B57">
        <v>223</v>
      </c>
      <c r="C57">
        <v>16</v>
      </c>
      <c r="D57" t="s">
        <v>89</v>
      </c>
      <c r="E57" t="s">
        <v>17</v>
      </c>
      <c r="F57">
        <v>180</v>
      </c>
      <c r="H57">
        <v>0</v>
      </c>
      <c r="I57">
        <v>0</v>
      </c>
      <c r="K57">
        <v>90</v>
      </c>
      <c r="L57">
        <v>0</v>
      </c>
      <c r="N57">
        <v>90</v>
      </c>
    </row>
    <row r="58" spans="1:16">
      <c r="A58" t="s">
        <v>15</v>
      </c>
      <c r="B58">
        <v>223</v>
      </c>
      <c r="C58">
        <v>102</v>
      </c>
      <c r="D58" t="s">
        <v>33</v>
      </c>
      <c r="E58" t="s">
        <v>17</v>
      </c>
      <c r="F58">
        <v>180</v>
      </c>
      <c r="H58">
        <v>0</v>
      </c>
      <c r="I58">
        <v>0</v>
      </c>
      <c r="K58">
        <v>90</v>
      </c>
      <c r="L58">
        <v>0</v>
      </c>
      <c r="N58">
        <v>90</v>
      </c>
    </row>
    <row r="59" spans="1:16">
      <c r="A59" t="s">
        <v>15</v>
      </c>
      <c r="B59">
        <v>223</v>
      </c>
      <c r="C59">
        <v>8818</v>
      </c>
      <c r="D59" t="s">
        <v>90</v>
      </c>
      <c r="E59" t="s">
        <v>46</v>
      </c>
      <c r="F59">
        <v>0</v>
      </c>
      <c r="H59">
        <v>0</v>
      </c>
      <c r="I59">
        <v>0</v>
      </c>
      <c r="K59">
        <v>0</v>
      </c>
      <c r="L59">
        <v>-15703.72</v>
      </c>
      <c r="N59">
        <v>15703.72</v>
      </c>
      <c r="P59" t="s">
        <v>91</v>
      </c>
    </row>
    <row r="60" spans="1:16">
      <c r="C60" t="s">
        <v>92</v>
      </c>
      <c r="D60" t="s">
        <v>93</v>
      </c>
      <c r="F60" t="s">
        <v>52</v>
      </c>
      <c r="G60">
        <v>18360</v>
      </c>
      <c r="I60">
        <v>0</v>
      </c>
      <c r="J60">
        <v>0</v>
      </c>
      <c r="L60">
        <v>9180</v>
      </c>
      <c r="M60">
        <v>-15703.72</v>
      </c>
      <c r="O60">
        <v>24883.72</v>
      </c>
    </row>
    <row r="61" spans="1:16">
      <c r="H61" t="s">
        <v>53</v>
      </c>
      <c r="I61">
        <v>0</v>
      </c>
      <c r="K61" t="s">
        <v>54</v>
      </c>
      <c r="L61">
        <v>-6523.72</v>
      </c>
    </row>
    <row r="63" spans="1:16">
      <c r="A63" t="s">
        <v>15</v>
      </c>
      <c r="B63">
        <v>224</v>
      </c>
      <c r="C63">
        <v>281</v>
      </c>
      <c r="D63" t="s">
        <v>94</v>
      </c>
      <c r="E63" t="s">
        <v>17</v>
      </c>
      <c r="F63">
        <v>0</v>
      </c>
      <c r="H63">
        <v>0</v>
      </c>
      <c r="I63">
        <v>0</v>
      </c>
      <c r="K63">
        <v>2324.81</v>
      </c>
      <c r="L63">
        <v>0</v>
      </c>
      <c r="N63">
        <v>-2324.81</v>
      </c>
      <c r="P63" t="s">
        <v>95</v>
      </c>
    </row>
    <row r="64" spans="1:16">
      <c r="C64" t="s">
        <v>96</v>
      </c>
      <c r="D64" t="s">
        <v>97</v>
      </c>
      <c r="F64" t="s">
        <v>52</v>
      </c>
      <c r="G64">
        <v>0</v>
      </c>
      <c r="I64">
        <v>0</v>
      </c>
      <c r="J64">
        <v>0</v>
      </c>
      <c r="L64">
        <v>2324.81</v>
      </c>
      <c r="M64">
        <v>0</v>
      </c>
      <c r="O64">
        <v>-2324.81</v>
      </c>
    </row>
    <row r="65" spans="1:16">
      <c r="H65" t="s">
        <v>53</v>
      </c>
      <c r="I65">
        <v>0</v>
      </c>
      <c r="K65" t="s">
        <v>54</v>
      </c>
      <c r="L65">
        <v>2324.81</v>
      </c>
    </row>
    <row r="67" spans="1:16">
      <c r="A67" t="s">
        <v>15</v>
      </c>
      <c r="B67">
        <v>226</v>
      </c>
      <c r="C67">
        <v>1</v>
      </c>
      <c r="D67" t="s">
        <v>16</v>
      </c>
      <c r="E67" t="s">
        <v>17</v>
      </c>
      <c r="F67">
        <v>0</v>
      </c>
      <c r="H67">
        <v>0</v>
      </c>
      <c r="I67">
        <v>0</v>
      </c>
      <c r="K67">
        <v>466149.41</v>
      </c>
      <c r="L67">
        <v>0</v>
      </c>
      <c r="N67">
        <v>-466149.41</v>
      </c>
      <c r="P67" t="s">
        <v>98</v>
      </c>
    </row>
    <row r="68" spans="1:16">
      <c r="A68" t="s">
        <v>15</v>
      </c>
      <c r="B68">
        <v>226</v>
      </c>
      <c r="C68">
        <v>3</v>
      </c>
      <c r="D68" t="s">
        <v>56</v>
      </c>
      <c r="E68" t="s">
        <v>17</v>
      </c>
      <c r="F68">
        <v>0</v>
      </c>
      <c r="H68">
        <v>0</v>
      </c>
      <c r="I68">
        <v>0</v>
      </c>
      <c r="K68">
        <v>3155</v>
      </c>
      <c r="L68">
        <v>0</v>
      </c>
      <c r="N68">
        <v>-3155</v>
      </c>
      <c r="P68" t="s">
        <v>99</v>
      </c>
    </row>
    <row r="69" spans="1:16">
      <c r="A69" t="s">
        <v>15</v>
      </c>
      <c r="B69">
        <v>226</v>
      </c>
      <c r="C69">
        <v>4</v>
      </c>
      <c r="D69" t="s">
        <v>58</v>
      </c>
      <c r="E69" t="s">
        <v>17</v>
      </c>
      <c r="F69">
        <v>0</v>
      </c>
      <c r="H69">
        <v>0</v>
      </c>
      <c r="I69">
        <v>0</v>
      </c>
      <c r="K69">
        <v>1855.46</v>
      </c>
      <c r="L69">
        <v>0</v>
      </c>
      <c r="N69">
        <v>-1855.46</v>
      </c>
      <c r="P69" t="s">
        <v>100</v>
      </c>
    </row>
    <row r="70" spans="1:16">
      <c r="A70" t="s">
        <v>15</v>
      </c>
      <c r="B70">
        <v>226</v>
      </c>
      <c r="C70">
        <v>6</v>
      </c>
      <c r="D70" t="s">
        <v>19</v>
      </c>
      <c r="E70" t="s">
        <v>17</v>
      </c>
      <c r="F70">
        <v>0</v>
      </c>
      <c r="H70">
        <v>0</v>
      </c>
      <c r="I70">
        <v>0</v>
      </c>
      <c r="K70">
        <v>50445.599999999999</v>
      </c>
      <c r="L70">
        <v>0</v>
      </c>
      <c r="N70">
        <v>-50445.599999999999</v>
      </c>
      <c r="P70" t="s">
        <v>101</v>
      </c>
    </row>
    <row r="71" spans="1:16">
      <c r="A71" t="s">
        <v>15</v>
      </c>
      <c r="B71">
        <v>226</v>
      </c>
      <c r="C71">
        <v>10</v>
      </c>
      <c r="D71" t="s">
        <v>22</v>
      </c>
      <c r="E71" t="s">
        <v>17</v>
      </c>
      <c r="F71">
        <v>0</v>
      </c>
      <c r="H71">
        <v>0</v>
      </c>
      <c r="I71">
        <v>0</v>
      </c>
      <c r="K71">
        <v>81788.97</v>
      </c>
      <c r="L71">
        <v>0</v>
      </c>
      <c r="N71">
        <v>-81788.97</v>
      </c>
      <c r="P71" t="s">
        <v>102</v>
      </c>
    </row>
    <row r="72" spans="1:16">
      <c r="A72" t="s">
        <v>15</v>
      </c>
      <c r="B72">
        <v>226</v>
      </c>
      <c r="C72">
        <v>16</v>
      </c>
      <c r="D72" t="s">
        <v>27</v>
      </c>
      <c r="E72" t="s">
        <v>17</v>
      </c>
      <c r="F72">
        <v>0</v>
      </c>
      <c r="H72">
        <v>0</v>
      </c>
      <c r="I72">
        <v>0</v>
      </c>
      <c r="K72">
        <v>5005.54</v>
      </c>
      <c r="L72">
        <v>0</v>
      </c>
      <c r="N72">
        <v>-5005.54</v>
      </c>
      <c r="P72" t="s">
        <v>103</v>
      </c>
    </row>
    <row r="73" spans="1:16">
      <c r="A73" t="s">
        <v>15</v>
      </c>
      <c r="B73">
        <v>226</v>
      </c>
      <c r="C73">
        <v>18</v>
      </c>
      <c r="D73" t="s">
        <v>31</v>
      </c>
      <c r="E73" t="s">
        <v>17</v>
      </c>
      <c r="F73">
        <v>0</v>
      </c>
      <c r="H73">
        <v>0</v>
      </c>
      <c r="I73">
        <v>0</v>
      </c>
      <c r="K73">
        <v>52213.63</v>
      </c>
      <c r="L73">
        <v>0</v>
      </c>
      <c r="N73">
        <v>-52213.63</v>
      </c>
      <c r="P73" t="s">
        <v>104</v>
      </c>
    </row>
    <row r="74" spans="1:16">
      <c r="A74" t="s">
        <v>15</v>
      </c>
      <c r="B74">
        <v>226</v>
      </c>
      <c r="C74">
        <v>102</v>
      </c>
      <c r="D74" t="s">
        <v>66</v>
      </c>
      <c r="E74" t="s">
        <v>17</v>
      </c>
      <c r="F74">
        <v>0</v>
      </c>
      <c r="H74">
        <v>0</v>
      </c>
      <c r="I74">
        <v>0</v>
      </c>
      <c r="K74">
        <v>5433.17</v>
      </c>
      <c r="L74">
        <v>0</v>
      </c>
      <c r="N74">
        <v>-5433.17</v>
      </c>
      <c r="P74" t="s">
        <v>105</v>
      </c>
    </row>
    <row r="75" spans="1:16">
      <c r="A75" t="s">
        <v>15</v>
      </c>
      <c r="B75">
        <v>226</v>
      </c>
      <c r="C75">
        <v>104</v>
      </c>
      <c r="D75" t="s">
        <v>34</v>
      </c>
      <c r="E75" t="s">
        <v>17</v>
      </c>
      <c r="F75">
        <v>0</v>
      </c>
      <c r="H75">
        <v>0</v>
      </c>
      <c r="I75">
        <v>0</v>
      </c>
      <c r="K75">
        <v>345.78</v>
      </c>
      <c r="L75">
        <v>0</v>
      </c>
      <c r="N75">
        <v>-345.78</v>
      </c>
      <c r="P75" t="s">
        <v>106</v>
      </c>
    </row>
    <row r="76" spans="1:16">
      <c r="C76" t="s">
        <v>107</v>
      </c>
      <c r="D76" t="s">
        <v>108</v>
      </c>
      <c r="F76" t="s">
        <v>52</v>
      </c>
      <c r="G76">
        <v>0</v>
      </c>
      <c r="I76">
        <v>0</v>
      </c>
      <c r="J76">
        <v>0</v>
      </c>
      <c r="L76">
        <v>666392.56000000006</v>
      </c>
      <c r="M76">
        <v>0</v>
      </c>
      <c r="O76">
        <v>-666392.56000000006</v>
      </c>
    </row>
    <row r="77" spans="1:16">
      <c r="H77" t="s">
        <v>53</v>
      </c>
      <c r="I77">
        <v>0</v>
      </c>
      <c r="K77" t="s">
        <v>54</v>
      </c>
      <c r="L77">
        <v>666392.56000000006</v>
      </c>
    </row>
    <row r="79" spans="1:16">
      <c r="A79" t="s">
        <v>15</v>
      </c>
      <c r="B79">
        <v>227</v>
      </c>
      <c r="C79">
        <v>1</v>
      </c>
      <c r="D79" t="s">
        <v>109</v>
      </c>
      <c r="E79" t="s">
        <v>17</v>
      </c>
      <c r="F79">
        <v>233545.56</v>
      </c>
      <c r="H79">
        <v>0</v>
      </c>
      <c r="I79">
        <v>0</v>
      </c>
      <c r="K79">
        <v>193358.6</v>
      </c>
      <c r="L79">
        <v>0</v>
      </c>
      <c r="N79">
        <v>40186.959999999999</v>
      </c>
    </row>
    <row r="80" spans="1:16">
      <c r="A80" t="s">
        <v>15</v>
      </c>
      <c r="B80">
        <v>227</v>
      </c>
      <c r="C80">
        <v>6</v>
      </c>
      <c r="D80" t="s">
        <v>110</v>
      </c>
      <c r="E80" t="s">
        <v>17</v>
      </c>
      <c r="F80">
        <v>19119.599999999999</v>
      </c>
      <c r="H80">
        <v>0</v>
      </c>
      <c r="I80">
        <v>0</v>
      </c>
      <c r="K80">
        <v>16240.2</v>
      </c>
      <c r="L80">
        <v>0</v>
      </c>
      <c r="N80">
        <v>2879.4</v>
      </c>
    </row>
    <row r="81" spans="1:15">
      <c r="A81" t="s">
        <v>15</v>
      </c>
      <c r="B81">
        <v>227</v>
      </c>
      <c r="C81">
        <v>8</v>
      </c>
      <c r="D81" t="s">
        <v>21</v>
      </c>
      <c r="E81" t="s">
        <v>17</v>
      </c>
      <c r="F81">
        <v>4545.1000000000004</v>
      </c>
      <c r="H81">
        <v>0</v>
      </c>
      <c r="I81">
        <v>0</v>
      </c>
      <c r="K81">
        <v>2272.5500000000002</v>
      </c>
      <c r="L81">
        <v>0</v>
      </c>
      <c r="N81">
        <v>2272.5500000000002</v>
      </c>
    </row>
    <row r="82" spans="1:15">
      <c r="A82" t="s">
        <v>15</v>
      </c>
      <c r="B82">
        <v>227</v>
      </c>
      <c r="C82">
        <v>10</v>
      </c>
      <c r="D82" t="s">
        <v>111</v>
      </c>
      <c r="E82" t="s">
        <v>17</v>
      </c>
      <c r="F82">
        <v>49277.279999999999</v>
      </c>
      <c r="H82">
        <v>0</v>
      </c>
      <c r="I82">
        <v>0</v>
      </c>
      <c r="K82">
        <v>41064.400000000001</v>
      </c>
      <c r="L82">
        <v>0</v>
      </c>
      <c r="N82">
        <v>8212.8799999999992</v>
      </c>
    </row>
    <row r="83" spans="1:15">
      <c r="A83" t="s">
        <v>15</v>
      </c>
      <c r="B83">
        <v>227</v>
      </c>
      <c r="C83">
        <v>14</v>
      </c>
      <c r="D83" t="s">
        <v>112</v>
      </c>
      <c r="E83" t="s">
        <v>17</v>
      </c>
      <c r="F83">
        <v>64821</v>
      </c>
      <c r="H83">
        <v>0</v>
      </c>
      <c r="I83">
        <v>0</v>
      </c>
      <c r="K83">
        <v>54017.5</v>
      </c>
      <c r="L83">
        <v>0</v>
      </c>
      <c r="N83">
        <v>10803.5</v>
      </c>
    </row>
    <row r="84" spans="1:15">
      <c r="A84" t="s">
        <v>15</v>
      </c>
      <c r="B84">
        <v>227</v>
      </c>
      <c r="C84">
        <v>16</v>
      </c>
      <c r="D84" t="s">
        <v>89</v>
      </c>
      <c r="E84" t="s">
        <v>17</v>
      </c>
      <c r="F84">
        <v>1784.64</v>
      </c>
      <c r="H84">
        <v>0</v>
      </c>
      <c r="I84">
        <v>0</v>
      </c>
      <c r="K84">
        <v>1487.2</v>
      </c>
      <c r="L84">
        <v>0</v>
      </c>
      <c r="N84">
        <v>297.44</v>
      </c>
    </row>
    <row r="85" spans="1:15">
      <c r="A85" t="s">
        <v>15</v>
      </c>
      <c r="B85">
        <v>227</v>
      </c>
      <c r="C85">
        <v>17</v>
      </c>
      <c r="D85" t="s">
        <v>113</v>
      </c>
      <c r="E85" t="s">
        <v>17</v>
      </c>
      <c r="F85">
        <v>2257.1999999999998</v>
      </c>
      <c r="H85">
        <v>0</v>
      </c>
      <c r="I85">
        <v>0</v>
      </c>
      <c r="K85">
        <v>1881</v>
      </c>
      <c r="L85">
        <v>0</v>
      </c>
      <c r="N85">
        <v>376.2</v>
      </c>
    </row>
    <row r="86" spans="1:15">
      <c r="A86" t="s">
        <v>15</v>
      </c>
      <c r="B86">
        <v>227</v>
      </c>
      <c r="C86">
        <v>18</v>
      </c>
      <c r="D86" t="s">
        <v>114</v>
      </c>
      <c r="E86" t="s">
        <v>17</v>
      </c>
      <c r="F86">
        <v>77248.52</v>
      </c>
      <c r="H86">
        <v>0</v>
      </c>
      <c r="I86">
        <v>0</v>
      </c>
      <c r="K86">
        <v>38624.26</v>
      </c>
      <c r="L86">
        <v>0</v>
      </c>
      <c r="N86">
        <v>38624.26</v>
      </c>
    </row>
    <row r="87" spans="1:15">
      <c r="A87" t="s">
        <v>15</v>
      </c>
      <c r="B87">
        <v>227</v>
      </c>
      <c r="C87">
        <v>102</v>
      </c>
      <c r="D87" t="s">
        <v>33</v>
      </c>
      <c r="E87" t="s">
        <v>17</v>
      </c>
      <c r="F87">
        <v>3693.92</v>
      </c>
      <c r="H87">
        <v>0</v>
      </c>
      <c r="I87">
        <v>0</v>
      </c>
      <c r="K87">
        <v>2808.69</v>
      </c>
      <c r="L87">
        <v>0</v>
      </c>
      <c r="N87">
        <v>885.23</v>
      </c>
    </row>
    <row r="88" spans="1:15">
      <c r="A88" t="s">
        <v>15</v>
      </c>
      <c r="B88">
        <v>227</v>
      </c>
      <c r="C88">
        <v>104</v>
      </c>
      <c r="D88" t="s">
        <v>115</v>
      </c>
      <c r="E88" t="s">
        <v>17</v>
      </c>
      <c r="F88">
        <v>81.36</v>
      </c>
      <c r="H88">
        <v>0</v>
      </c>
      <c r="I88">
        <v>0</v>
      </c>
      <c r="K88">
        <v>67.8</v>
      </c>
      <c r="L88">
        <v>0</v>
      </c>
      <c r="N88">
        <v>13.56</v>
      </c>
    </row>
    <row r="89" spans="1:15">
      <c r="A89" t="s">
        <v>15</v>
      </c>
      <c r="B89">
        <v>227</v>
      </c>
      <c r="C89">
        <v>195</v>
      </c>
      <c r="D89" t="s">
        <v>116</v>
      </c>
      <c r="E89" t="s">
        <v>17</v>
      </c>
      <c r="F89">
        <v>15000</v>
      </c>
      <c r="H89">
        <v>0</v>
      </c>
      <c r="I89">
        <v>0</v>
      </c>
      <c r="K89">
        <v>0</v>
      </c>
      <c r="L89">
        <v>0</v>
      </c>
      <c r="N89">
        <v>15000</v>
      </c>
    </row>
    <row r="90" spans="1:15">
      <c r="A90" t="s">
        <v>15</v>
      </c>
      <c r="B90">
        <v>227</v>
      </c>
      <c r="C90">
        <v>196</v>
      </c>
      <c r="D90" t="s">
        <v>117</v>
      </c>
      <c r="E90" t="s">
        <v>17</v>
      </c>
      <c r="F90">
        <v>35000</v>
      </c>
      <c r="H90">
        <v>0</v>
      </c>
      <c r="I90">
        <v>0</v>
      </c>
      <c r="K90">
        <v>0</v>
      </c>
      <c r="L90">
        <v>0</v>
      </c>
      <c r="N90">
        <v>35000</v>
      </c>
    </row>
    <row r="91" spans="1:15">
      <c r="A91" t="s">
        <v>15</v>
      </c>
      <c r="B91">
        <v>227</v>
      </c>
      <c r="C91">
        <v>200</v>
      </c>
      <c r="D91" t="s">
        <v>118</v>
      </c>
      <c r="E91" t="s">
        <v>17</v>
      </c>
      <c r="F91">
        <v>50000</v>
      </c>
      <c r="H91">
        <v>0</v>
      </c>
      <c r="I91">
        <v>0</v>
      </c>
      <c r="K91">
        <v>47100</v>
      </c>
      <c r="L91">
        <v>0</v>
      </c>
      <c r="N91">
        <v>2900</v>
      </c>
    </row>
    <row r="92" spans="1:15">
      <c r="A92" t="s">
        <v>15</v>
      </c>
      <c r="B92">
        <v>227</v>
      </c>
      <c r="C92">
        <v>201</v>
      </c>
      <c r="D92" t="s">
        <v>119</v>
      </c>
      <c r="E92" t="s">
        <v>17</v>
      </c>
      <c r="F92">
        <v>20000</v>
      </c>
      <c r="H92">
        <v>0</v>
      </c>
      <c r="I92">
        <v>0</v>
      </c>
      <c r="K92">
        <v>0</v>
      </c>
      <c r="L92">
        <v>0</v>
      </c>
      <c r="N92">
        <v>20000</v>
      </c>
    </row>
    <row r="93" spans="1:15">
      <c r="A93" t="s">
        <v>15</v>
      </c>
      <c r="B93">
        <v>227</v>
      </c>
      <c r="C93">
        <v>465</v>
      </c>
      <c r="D93" t="s">
        <v>120</v>
      </c>
      <c r="E93" t="s">
        <v>17</v>
      </c>
      <c r="F93">
        <v>15000</v>
      </c>
      <c r="H93">
        <v>0</v>
      </c>
      <c r="I93">
        <v>0</v>
      </c>
      <c r="K93">
        <v>0</v>
      </c>
      <c r="L93">
        <v>0</v>
      </c>
      <c r="N93">
        <v>15000</v>
      </c>
    </row>
    <row r="94" spans="1:15">
      <c r="A94" t="s">
        <v>15</v>
      </c>
      <c r="B94">
        <v>227</v>
      </c>
      <c r="C94">
        <v>8875</v>
      </c>
      <c r="D94" t="s">
        <v>121</v>
      </c>
      <c r="E94" t="s">
        <v>46</v>
      </c>
      <c r="F94">
        <v>-848685</v>
      </c>
      <c r="H94">
        <v>0</v>
      </c>
      <c r="I94">
        <v>0</v>
      </c>
      <c r="K94">
        <v>0</v>
      </c>
      <c r="L94">
        <v>0</v>
      </c>
      <c r="N94">
        <v>-848685</v>
      </c>
    </row>
    <row r="95" spans="1:15">
      <c r="C95" t="s">
        <v>122</v>
      </c>
      <c r="D95" t="s">
        <v>123</v>
      </c>
      <c r="F95" t="s">
        <v>52</v>
      </c>
      <c r="G95">
        <v>-257310.82</v>
      </c>
      <c r="I95">
        <v>0</v>
      </c>
      <c r="J95">
        <v>0</v>
      </c>
      <c r="L95">
        <v>398922.2</v>
      </c>
      <c r="M95">
        <v>0</v>
      </c>
      <c r="O95">
        <v>-656233.02</v>
      </c>
    </row>
    <row r="96" spans="1:15">
      <c r="H96" t="s">
        <v>53</v>
      </c>
      <c r="I96">
        <v>0</v>
      </c>
      <c r="K96" t="s">
        <v>54</v>
      </c>
      <c r="L96">
        <v>398922.2</v>
      </c>
    </row>
    <row r="98" spans="1:16">
      <c r="A98" t="s">
        <v>15</v>
      </c>
      <c r="B98">
        <v>229</v>
      </c>
      <c r="C98">
        <v>1</v>
      </c>
      <c r="D98" t="s">
        <v>16</v>
      </c>
      <c r="E98" t="s">
        <v>17</v>
      </c>
      <c r="F98">
        <v>473304.2</v>
      </c>
      <c r="H98">
        <v>0</v>
      </c>
      <c r="I98">
        <v>0</v>
      </c>
      <c r="K98">
        <v>317089.68</v>
      </c>
      <c r="L98">
        <v>0</v>
      </c>
      <c r="N98">
        <v>156214.51999999999</v>
      </c>
      <c r="P98" t="s">
        <v>124</v>
      </c>
    </row>
    <row r="99" spans="1:16">
      <c r="A99" t="s">
        <v>15</v>
      </c>
      <c r="B99">
        <v>229</v>
      </c>
      <c r="C99">
        <v>3</v>
      </c>
      <c r="D99" t="s">
        <v>125</v>
      </c>
      <c r="E99" t="s">
        <v>17</v>
      </c>
      <c r="F99">
        <v>5220</v>
      </c>
      <c r="H99">
        <v>0</v>
      </c>
      <c r="I99">
        <v>0</v>
      </c>
      <c r="K99">
        <v>2610</v>
      </c>
      <c r="L99">
        <v>0</v>
      </c>
      <c r="N99">
        <v>2610</v>
      </c>
    </row>
    <row r="100" spans="1:16">
      <c r="A100" t="s">
        <v>15</v>
      </c>
      <c r="B100">
        <v>229</v>
      </c>
      <c r="C100">
        <v>4</v>
      </c>
      <c r="D100" t="s">
        <v>58</v>
      </c>
      <c r="E100" t="s">
        <v>17</v>
      </c>
      <c r="F100">
        <v>6531.1</v>
      </c>
      <c r="H100">
        <v>0</v>
      </c>
      <c r="I100">
        <v>0</v>
      </c>
      <c r="K100">
        <v>4637.08</v>
      </c>
      <c r="L100">
        <v>0</v>
      </c>
      <c r="N100">
        <v>1894.02</v>
      </c>
    </row>
    <row r="101" spans="1:16">
      <c r="A101" t="s">
        <v>15</v>
      </c>
      <c r="B101">
        <v>229</v>
      </c>
      <c r="C101">
        <v>6</v>
      </c>
      <c r="D101" t="s">
        <v>58</v>
      </c>
      <c r="E101" t="s">
        <v>17</v>
      </c>
      <c r="F101">
        <v>28760.400000000001</v>
      </c>
      <c r="H101">
        <v>0</v>
      </c>
      <c r="I101">
        <v>0</v>
      </c>
      <c r="K101">
        <v>19091.400000000001</v>
      </c>
      <c r="L101">
        <v>0</v>
      </c>
      <c r="N101">
        <v>9669</v>
      </c>
    </row>
    <row r="102" spans="1:16">
      <c r="A102" t="s">
        <v>15</v>
      </c>
      <c r="B102">
        <v>229</v>
      </c>
      <c r="C102">
        <v>8</v>
      </c>
      <c r="D102" t="s">
        <v>21</v>
      </c>
      <c r="E102" t="s">
        <v>17</v>
      </c>
      <c r="F102">
        <v>6691.76</v>
      </c>
      <c r="H102">
        <v>0</v>
      </c>
      <c r="I102">
        <v>0</v>
      </c>
      <c r="K102">
        <v>3345.88</v>
      </c>
      <c r="L102">
        <v>0</v>
      </c>
      <c r="N102">
        <v>3345.88</v>
      </c>
    </row>
    <row r="103" spans="1:16">
      <c r="A103" t="s">
        <v>15</v>
      </c>
      <c r="B103">
        <v>229</v>
      </c>
      <c r="C103">
        <v>10</v>
      </c>
      <c r="D103" t="s">
        <v>22</v>
      </c>
      <c r="E103" t="s">
        <v>17</v>
      </c>
      <c r="F103">
        <v>93082.74</v>
      </c>
      <c r="H103">
        <v>0</v>
      </c>
      <c r="I103">
        <v>0</v>
      </c>
      <c r="K103">
        <v>62372.39</v>
      </c>
      <c r="L103">
        <v>0</v>
      </c>
      <c r="N103">
        <v>30710.35</v>
      </c>
      <c r="P103" t="s">
        <v>126</v>
      </c>
    </row>
    <row r="104" spans="1:16">
      <c r="A104" t="s">
        <v>15</v>
      </c>
      <c r="B104">
        <v>229</v>
      </c>
      <c r="C104">
        <v>14</v>
      </c>
      <c r="D104" t="s">
        <v>112</v>
      </c>
      <c r="E104" t="s">
        <v>17</v>
      </c>
      <c r="F104">
        <v>105161</v>
      </c>
      <c r="H104">
        <v>0</v>
      </c>
      <c r="I104">
        <v>0</v>
      </c>
      <c r="K104">
        <v>74119.5</v>
      </c>
      <c r="L104">
        <v>0</v>
      </c>
      <c r="N104">
        <v>31041.5</v>
      </c>
    </row>
    <row r="105" spans="1:16">
      <c r="A105" t="s">
        <v>15</v>
      </c>
      <c r="B105">
        <v>229</v>
      </c>
      <c r="C105">
        <v>16</v>
      </c>
      <c r="D105" t="s">
        <v>89</v>
      </c>
      <c r="E105" t="s">
        <v>17</v>
      </c>
      <c r="F105">
        <v>3569.28</v>
      </c>
      <c r="H105">
        <v>0</v>
      </c>
      <c r="I105">
        <v>0</v>
      </c>
      <c r="K105">
        <v>2379.52</v>
      </c>
      <c r="L105">
        <v>0</v>
      </c>
      <c r="N105">
        <v>1189.76</v>
      </c>
    </row>
    <row r="106" spans="1:16">
      <c r="A106" t="s">
        <v>15</v>
      </c>
      <c r="B106">
        <v>229</v>
      </c>
      <c r="C106">
        <v>17</v>
      </c>
      <c r="D106" t="s">
        <v>113</v>
      </c>
      <c r="E106" t="s">
        <v>17</v>
      </c>
      <c r="F106">
        <v>7524</v>
      </c>
      <c r="H106">
        <v>0</v>
      </c>
      <c r="I106">
        <v>0</v>
      </c>
      <c r="K106">
        <v>5266.8</v>
      </c>
      <c r="L106">
        <v>0</v>
      </c>
      <c r="N106">
        <v>2257.1999999999998</v>
      </c>
    </row>
    <row r="107" spans="1:16">
      <c r="A107" t="s">
        <v>15</v>
      </c>
      <c r="B107">
        <v>229</v>
      </c>
      <c r="C107">
        <v>18</v>
      </c>
      <c r="D107" t="s">
        <v>114</v>
      </c>
      <c r="E107" t="s">
        <v>17</v>
      </c>
      <c r="F107">
        <v>14581.11</v>
      </c>
      <c r="H107">
        <v>0</v>
      </c>
      <c r="I107">
        <v>0</v>
      </c>
      <c r="K107">
        <v>0</v>
      </c>
      <c r="L107">
        <v>0</v>
      </c>
      <c r="N107">
        <v>14581.11</v>
      </c>
    </row>
    <row r="108" spans="1:16">
      <c r="A108" t="s">
        <v>15</v>
      </c>
      <c r="B108">
        <v>229</v>
      </c>
      <c r="C108">
        <v>102</v>
      </c>
      <c r="D108" t="s">
        <v>33</v>
      </c>
      <c r="E108" t="s">
        <v>17</v>
      </c>
      <c r="F108">
        <v>5772.12</v>
      </c>
      <c r="H108">
        <v>0</v>
      </c>
      <c r="I108">
        <v>0</v>
      </c>
      <c r="K108">
        <v>3878.3</v>
      </c>
      <c r="L108">
        <v>0</v>
      </c>
      <c r="N108">
        <v>1893.82</v>
      </c>
    </row>
    <row r="109" spans="1:16">
      <c r="A109" t="s">
        <v>15</v>
      </c>
      <c r="B109">
        <v>229</v>
      </c>
      <c r="C109">
        <v>104</v>
      </c>
      <c r="D109" t="s">
        <v>115</v>
      </c>
      <c r="E109" t="s">
        <v>17</v>
      </c>
      <c r="F109">
        <v>162.72</v>
      </c>
      <c r="H109">
        <v>0</v>
      </c>
      <c r="I109">
        <v>0</v>
      </c>
      <c r="K109">
        <v>108.48</v>
      </c>
      <c r="L109">
        <v>0</v>
      </c>
      <c r="N109">
        <v>54.24</v>
      </c>
    </row>
    <row r="110" spans="1:16">
      <c r="A110" t="s">
        <v>15</v>
      </c>
      <c r="B110">
        <v>229</v>
      </c>
      <c r="C110">
        <v>175</v>
      </c>
      <c r="D110" t="s">
        <v>127</v>
      </c>
      <c r="E110" t="s">
        <v>17</v>
      </c>
      <c r="F110">
        <v>1000</v>
      </c>
      <c r="H110">
        <v>0</v>
      </c>
      <c r="I110">
        <v>0</v>
      </c>
      <c r="K110">
        <v>0</v>
      </c>
      <c r="L110">
        <v>0</v>
      </c>
      <c r="N110">
        <v>1000</v>
      </c>
    </row>
    <row r="111" spans="1:16">
      <c r="A111" t="s">
        <v>15</v>
      </c>
      <c r="B111">
        <v>229</v>
      </c>
      <c r="C111">
        <v>182</v>
      </c>
      <c r="D111" t="s">
        <v>128</v>
      </c>
      <c r="E111" t="s">
        <v>17</v>
      </c>
      <c r="F111">
        <v>250000</v>
      </c>
      <c r="H111">
        <v>0</v>
      </c>
      <c r="I111">
        <v>0</v>
      </c>
      <c r="K111">
        <v>0</v>
      </c>
      <c r="L111">
        <v>0</v>
      </c>
      <c r="N111">
        <v>250000</v>
      </c>
      <c r="P111" t="s">
        <v>129</v>
      </c>
    </row>
    <row r="112" spans="1:16">
      <c r="A112" t="s">
        <v>15</v>
      </c>
      <c r="B112">
        <v>229</v>
      </c>
      <c r="C112">
        <v>183</v>
      </c>
      <c r="D112" t="s">
        <v>130</v>
      </c>
      <c r="E112" t="s">
        <v>17</v>
      </c>
      <c r="F112">
        <v>60000</v>
      </c>
      <c r="H112">
        <v>0</v>
      </c>
      <c r="I112">
        <v>0</v>
      </c>
      <c r="K112">
        <v>5766.83</v>
      </c>
      <c r="L112">
        <v>0</v>
      </c>
      <c r="N112">
        <v>54233.17</v>
      </c>
    </row>
    <row r="113" spans="1:16">
      <c r="A113" t="s">
        <v>15</v>
      </c>
      <c r="B113">
        <v>229</v>
      </c>
      <c r="C113">
        <v>193</v>
      </c>
      <c r="D113" t="s">
        <v>36</v>
      </c>
      <c r="E113" t="s">
        <v>17</v>
      </c>
      <c r="F113">
        <v>0</v>
      </c>
      <c r="H113">
        <v>0</v>
      </c>
      <c r="I113">
        <v>0</v>
      </c>
      <c r="K113">
        <v>3300</v>
      </c>
      <c r="L113">
        <v>0</v>
      </c>
      <c r="N113">
        <v>-3300</v>
      </c>
      <c r="P113" t="s">
        <v>131</v>
      </c>
    </row>
    <row r="114" spans="1:16">
      <c r="A114" t="s">
        <v>15</v>
      </c>
      <c r="B114">
        <v>229</v>
      </c>
      <c r="C114">
        <v>195</v>
      </c>
      <c r="D114" t="s">
        <v>132</v>
      </c>
      <c r="E114" t="s">
        <v>17</v>
      </c>
      <c r="F114">
        <v>45000</v>
      </c>
      <c r="H114">
        <v>0</v>
      </c>
      <c r="I114">
        <v>0</v>
      </c>
      <c r="K114">
        <v>33945.339999999997</v>
      </c>
      <c r="L114">
        <v>0</v>
      </c>
      <c r="N114">
        <v>11054.66</v>
      </c>
      <c r="P114">
        <v>195</v>
      </c>
    </row>
    <row r="115" spans="1:16">
      <c r="A115" t="s">
        <v>15</v>
      </c>
      <c r="B115">
        <v>229</v>
      </c>
      <c r="C115">
        <v>198</v>
      </c>
      <c r="D115" t="s">
        <v>133</v>
      </c>
      <c r="E115" t="s">
        <v>17</v>
      </c>
      <c r="F115">
        <v>518561.53</v>
      </c>
      <c r="H115">
        <v>0</v>
      </c>
      <c r="I115">
        <v>0</v>
      </c>
      <c r="K115">
        <v>178070.84</v>
      </c>
      <c r="L115">
        <v>0</v>
      </c>
      <c r="N115">
        <v>340490.69</v>
      </c>
    </row>
    <row r="116" spans="1:16">
      <c r="A116" t="s">
        <v>15</v>
      </c>
      <c r="B116">
        <v>229</v>
      </c>
      <c r="C116">
        <v>210</v>
      </c>
      <c r="D116" t="s">
        <v>44</v>
      </c>
      <c r="E116" t="s">
        <v>17</v>
      </c>
      <c r="F116">
        <v>25784.58</v>
      </c>
      <c r="H116">
        <v>0</v>
      </c>
      <c r="I116">
        <v>0</v>
      </c>
      <c r="K116">
        <v>0</v>
      </c>
      <c r="L116">
        <v>0</v>
      </c>
      <c r="N116">
        <v>25784.58</v>
      </c>
    </row>
    <row r="117" spans="1:16">
      <c r="A117" t="s">
        <v>15</v>
      </c>
      <c r="B117">
        <v>229</v>
      </c>
      <c r="C117">
        <v>8875</v>
      </c>
      <c r="D117" t="s">
        <v>121</v>
      </c>
      <c r="E117" t="s">
        <v>46</v>
      </c>
      <c r="F117">
        <v>-1905000</v>
      </c>
      <c r="H117">
        <v>0</v>
      </c>
      <c r="I117">
        <v>0</v>
      </c>
      <c r="K117">
        <v>0</v>
      </c>
      <c r="L117">
        <v>0</v>
      </c>
      <c r="N117">
        <v>-1905000</v>
      </c>
    </row>
    <row r="118" spans="1:16">
      <c r="C118" t="s">
        <v>134</v>
      </c>
      <c r="D118" t="s">
        <v>135</v>
      </c>
      <c r="F118" t="s">
        <v>52</v>
      </c>
      <c r="G118">
        <v>-254293.46</v>
      </c>
      <c r="I118">
        <v>0</v>
      </c>
      <c r="J118">
        <v>0</v>
      </c>
      <c r="L118">
        <v>715982.04</v>
      </c>
      <c r="M118">
        <v>0</v>
      </c>
      <c r="O118">
        <v>-970275.5</v>
      </c>
    </row>
    <row r="119" spans="1:16">
      <c r="H119" t="s">
        <v>53</v>
      </c>
      <c r="I119">
        <v>0</v>
      </c>
      <c r="K119" t="s">
        <v>54</v>
      </c>
      <c r="L119">
        <v>715982.04</v>
      </c>
    </row>
    <row r="121" spans="1:16">
      <c r="A121" t="s">
        <v>15</v>
      </c>
      <c r="B121">
        <v>230</v>
      </c>
      <c r="C121">
        <v>1</v>
      </c>
      <c r="D121" t="s">
        <v>109</v>
      </c>
      <c r="E121" t="s">
        <v>17</v>
      </c>
      <c r="F121">
        <v>153085.4</v>
      </c>
      <c r="H121">
        <v>0</v>
      </c>
      <c r="I121">
        <v>0</v>
      </c>
      <c r="K121">
        <v>107159.78</v>
      </c>
      <c r="L121">
        <v>0</v>
      </c>
      <c r="N121">
        <v>45925.62</v>
      </c>
    </row>
    <row r="122" spans="1:16">
      <c r="A122" t="s">
        <v>15</v>
      </c>
      <c r="B122">
        <v>230</v>
      </c>
      <c r="C122">
        <v>8</v>
      </c>
      <c r="D122" t="s">
        <v>21</v>
      </c>
      <c r="E122" t="s">
        <v>17</v>
      </c>
      <c r="F122">
        <v>4408.42</v>
      </c>
      <c r="H122">
        <v>0</v>
      </c>
      <c r="I122">
        <v>0</v>
      </c>
      <c r="K122">
        <v>2204.21</v>
      </c>
      <c r="L122">
        <v>0</v>
      </c>
      <c r="N122">
        <v>2204.21</v>
      </c>
    </row>
    <row r="123" spans="1:16">
      <c r="A123" t="s">
        <v>15</v>
      </c>
      <c r="B123">
        <v>230</v>
      </c>
      <c r="C123">
        <v>10</v>
      </c>
      <c r="D123" t="s">
        <v>111</v>
      </c>
      <c r="E123" t="s">
        <v>17</v>
      </c>
      <c r="F123">
        <v>27555.4</v>
      </c>
      <c r="H123">
        <v>0</v>
      </c>
      <c r="I123">
        <v>0</v>
      </c>
      <c r="K123">
        <v>19288.78</v>
      </c>
      <c r="L123">
        <v>0</v>
      </c>
      <c r="N123">
        <v>8266.6200000000008</v>
      </c>
    </row>
    <row r="124" spans="1:16">
      <c r="A124" t="s">
        <v>15</v>
      </c>
      <c r="B124">
        <v>230</v>
      </c>
      <c r="C124">
        <v>16</v>
      </c>
      <c r="D124" t="s">
        <v>89</v>
      </c>
      <c r="E124" t="s">
        <v>17</v>
      </c>
      <c r="F124">
        <v>1487.2</v>
      </c>
      <c r="H124">
        <v>0</v>
      </c>
      <c r="I124">
        <v>0</v>
      </c>
      <c r="K124">
        <v>1041.04</v>
      </c>
      <c r="L124">
        <v>0</v>
      </c>
      <c r="N124">
        <v>446.16</v>
      </c>
    </row>
    <row r="125" spans="1:16">
      <c r="A125" t="s">
        <v>15</v>
      </c>
      <c r="B125">
        <v>230</v>
      </c>
      <c r="C125">
        <v>17</v>
      </c>
      <c r="D125" t="s">
        <v>136</v>
      </c>
      <c r="E125" t="s">
        <v>17</v>
      </c>
      <c r="F125">
        <v>3762</v>
      </c>
      <c r="H125">
        <v>0</v>
      </c>
      <c r="I125">
        <v>0</v>
      </c>
      <c r="K125">
        <v>2633.4</v>
      </c>
      <c r="L125">
        <v>0</v>
      </c>
      <c r="N125">
        <v>1128.5999999999999</v>
      </c>
    </row>
    <row r="126" spans="1:16">
      <c r="A126" t="s">
        <v>15</v>
      </c>
      <c r="B126">
        <v>230</v>
      </c>
      <c r="C126">
        <v>18</v>
      </c>
      <c r="D126" t="s">
        <v>114</v>
      </c>
      <c r="E126" t="s">
        <v>17</v>
      </c>
      <c r="F126">
        <v>14581.11</v>
      </c>
      <c r="H126">
        <v>0</v>
      </c>
      <c r="I126">
        <v>0</v>
      </c>
      <c r="K126">
        <v>0</v>
      </c>
      <c r="L126">
        <v>0</v>
      </c>
      <c r="N126">
        <v>14581.11</v>
      </c>
    </row>
    <row r="127" spans="1:16">
      <c r="A127" t="s">
        <v>15</v>
      </c>
      <c r="B127">
        <v>230</v>
      </c>
      <c r="C127">
        <v>102</v>
      </c>
      <c r="D127" t="s">
        <v>33</v>
      </c>
      <c r="E127" t="s">
        <v>17</v>
      </c>
      <c r="F127">
        <v>1497.76</v>
      </c>
      <c r="H127">
        <v>0</v>
      </c>
      <c r="I127">
        <v>0</v>
      </c>
      <c r="K127">
        <v>1039.6099999999999</v>
      </c>
      <c r="L127">
        <v>0</v>
      </c>
      <c r="N127">
        <v>458.15</v>
      </c>
    </row>
    <row r="128" spans="1:16">
      <c r="A128" t="s">
        <v>15</v>
      </c>
      <c r="B128">
        <v>230</v>
      </c>
      <c r="C128">
        <v>104</v>
      </c>
      <c r="D128" t="s">
        <v>115</v>
      </c>
      <c r="E128" t="s">
        <v>17</v>
      </c>
      <c r="F128">
        <v>67.8</v>
      </c>
      <c r="H128">
        <v>0</v>
      </c>
      <c r="I128">
        <v>0</v>
      </c>
      <c r="K128">
        <v>47.46</v>
      </c>
      <c r="L128">
        <v>0</v>
      </c>
      <c r="N128">
        <v>20.34</v>
      </c>
    </row>
    <row r="129" spans="1:16">
      <c r="A129" t="s">
        <v>15</v>
      </c>
      <c r="B129">
        <v>230</v>
      </c>
      <c r="C129">
        <v>127</v>
      </c>
      <c r="D129" t="s">
        <v>137</v>
      </c>
      <c r="E129" t="s">
        <v>17</v>
      </c>
      <c r="F129">
        <v>20000</v>
      </c>
      <c r="H129">
        <v>0</v>
      </c>
      <c r="I129">
        <v>0</v>
      </c>
      <c r="K129">
        <v>12874.6</v>
      </c>
      <c r="L129">
        <v>0</v>
      </c>
      <c r="N129">
        <v>7125.4</v>
      </c>
    </row>
    <row r="130" spans="1:16">
      <c r="A130" t="s">
        <v>15</v>
      </c>
      <c r="B130">
        <v>230</v>
      </c>
      <c r="C130">
        <v>195</v>
      </c>
      <c r="D130" t="s">
        <v>138</v>
      </c>
      <c r="E130" t="s">
        <v>17</v>
      </c>
      <c r="F130">
        <v>9500</v>
      </c>
      <c r="H130">
        <v>0</v>
      </c>
      <c r="I130">
        <v>0</v>
      </c>
      <c r="K130">
        <v>3806.05</v>
      </c>
      <c r="L130">
        <v>0</v>
      </c>
      <c r="N130">
        <v>5693.95</v>
      </c>
    </row>
    <row r="131" spans="1:16">
      <c r="A131" t="s">
        <v>15</v>
      </c>
      <c r="B131">
        <v>230</v>
      </c>
      <c r="C131">
        <v>204</v>
      </c>
      <c r="D131" t="s">
        <v>42</v>
      </c>
      <c r="E131" t="s">
        <v>17</v>
      </c>
      <c r="F131">
        <v>1000</v>
      </c>
      <c r="H131">
        <v>0</v>
      </c>
      <c r="I131">
        <v>0</v>
      </c>
      <c r="K131">
        <v>0</v>
      </c>
      <c r="L131">
        <v>0</v>
      </c>
      <c r="N131">
        <v>1000</v>
      </c>
      <c r="P131" t="s">
        <v>139</v>
      </c>
    </row>
    <row r="132" spans="1:16">
      <c r="A132" t="s">
        <v>15</v>
      </c>
      <c r="B132">
        <v>230</v>
      </c>
      <c r="C132">
        <v>205</v>
      </c>
      <c r="D132" t="s">
        <v>140</v>
      </c>
      <c r="E132" t="s">
        <v>17</v>
      </c>
      <c r="F132">
        <v>50000</v>
      </c>
      <c r="H132">
        <v>0</v>
      </c>
      <c r="I132">
        <v>0</v>
      </c>
      <c r="K132">
        <v>0</v>
      </c>
      <c r="L132">
        <v>0</v>
      </c>
      <c r="N132">
        <v>50000</v>
      </c>
    </row>
    <row r="133" spans="1:16">
      <c r="A133" t="s">
        <v>15</v>
      </c>
      <c r="B133">
        <v>230</v>
      </c>
      <c r="C133">
        <v>206</v>
      </c>
      <c r="D133" t="s">
        <v>141</v>
      </c>
      <c r="E133" t="s">
        <v>17</v>
      </c>
      <c r="F133">
        <v>88455.27</v>
      </c>
      <c r="H133">
        <v>0</v>
      </c>
      <c r="I133">
        <v>0</v>
      </c>
      <c r="K133">
        <v>107894.22</v>
      </c>
      <c r="L133">
        <v>0</v>
      </c>
      <c r="N133">
        <v>-19438.95</v>
      </c>
    </row>
    <row r="134" spans="1:16">
      <c r="A134" t="s">
        <v>15</v>
      </c>
      <c r="B134">
        <v>230</v>
      </c>
      <c r="C134">
        <v>207</v>
      </c>
      <c r="D134" t="s">
        <v>142</v>
      </c>
      <c r="E134" t="s">
        <v>17</v>
      </c>
      <c r="F134">
        <v>16000</v>
      </c>
      <c r="H134">
        <v>0</v>
      </c>
      <c r="I134">
        <v>0</v>
      </c>
      <c r="K134">
        <v>11080</v>
      </c>
      <c r="L134">
        <v>0</v>
      </c>
      <c r="N134">
        <v>4920</v>
      </c>
    </row>
    <row r="135" spans="1:16">
      <c r="A135" t="s">
        <v>15</v>
      </c>
      <c r="B135">
        <v>230</v>
      </c>
      <c r="C135">
        <v>210</v>
      </c>
      <c r="D135" t="s">
        <v>44</v>
      </c>
      <c r="E135" t="s">
        <v>17</v>
      </c>
      <c r="F135">
        <v>79260</v>
      </c>
      <c r="H135">
        <v>0</v>
      </c>
      <c r="I135">
        <v>0</v>
      </c>
      <c r="K135">
        <v>0</v>
      </c>
      <c r="L135">
        <v>0</v>
      </c>
      <c r="N135">
        <v>79260</v>
      </c>
    </row>
    <row r="136" spans="1:16">
      <c r="A136" t="s">
        <v>15</v>
      </c>
      <c r="B136">
        <v>230</v>
      </c>
      <c r="C136">
        <v>272</v>
      </c>
      <c r="D136" t="s">
        <v>143</v>
      </c>
      <c r="E136" t="s">
        <v>17</v>
      </c>
      <c r="F136">
        <v>50000</v>
      </c>
      <c r="H136">
        <v>0</v>
      </c>
      <c r="I136">
        <v>0</v>
      </c>
      <c r="K136">
        <v>1815.86</v>
      </c>
      <c r="L136">
        <v>0</v>
      </c>
      <c r="N136">
        <v>48184.14</v>
      </c>
      <c r="P136" t="s">
        <v>144</v>
      </c>
    </row>
    <row r="137" spans="1:16">
      <c r="A137" t="s">
        <v>15</v>
      </c>
      <c r="B137">
        <v>230</v>
      </c>
      <c r="C137">
        <v>460</v>
      </c>
      <c r="D137" t="s">
        <v>145</v>
      </c>
      <c r="E137" t="s">
        <v>17</v>
      </c>
      <c r="F137">
        <v>6021537.9199999999</v>
      </c>
      <c r="H137">
        <v>0</v>
      </c>
      <c r="I137">
        <v>0</v>
      </c>
      <c r="K137">
        <v>2033636.46</v>
      </c>
      <c r="L137">
        <v>0</v>
      </c>
      <c r="N137">
        <v>3987901.46</v>
      </c>
      <c r="P137" t="s">
        <v>146</v>
      </c>
    </row>
    <row r="138" spans="1:16">
      <c r="A138" t="s">
        <v>15</v>
      </c>
      <c r="B138">
        <v>230</v>
      </c>
      <c r="C138">
        <v>8875</v>
      </c>
      <c r="D138" t="s">
        <v>121</v>
      </c>
      <c r="E138" t="s">
        <v>46</v>
      </c>
      <c r="F138">
        <v>-505000</v>
      </c>
      <c r="H138">
        <v>0</v>
      </c>
      <c r="I138">
        <v>0</v>
      </c>
      <c r="K138">
        <v>0</v>
      </c>
      <c r="L138">
        <v>0</v>
      </c>
      <c r="N138">
        <v>-505000</v>
      </c>
    </row>
    <row r="139" spans="1:16">
      <c r="A139" t="s">
        <v>15</v>
      </c>
      <c r="B139">
        <v>230</v>
      </c>
      <c r="C139">
        <v>8877</v>
      </c>
      <c r="D139" t="s">
        <v>147</v>
      </c>
      <c r="E139" t="s">
        <v>46</v>
      </c>
      <c r="F139">
        <v>-6021537.9199999999</v>
      </c>
      <c r="H139">
        <v>0</v>
      </c>
      <c r="I139">
        <v>0</v>
      </c>
      <c r="K139">
        <v>0</v>
      </c>
      <c r="L139">
        <v>0</v>
      </c>
      <c r="N139">
        <v>-6021537.9199999999</v>
      </c>
    </row>
    <row r="140" spans="1:16">
      <c r="C140" t="s">
        <v>148</v>
      </c>
      <c r="D140" t="s">
        <v>149</v>
      </c>
      <c r="F140" t="s">
        <v>52</v>
      </c>
      <c r="G140">
        <v>15660.36</v>
      </c>
      <c r="I140">
        <v>0</v>
      </c>
      <c r="J140">
        <v>0</v>
      </c>
      <c r="L140">
        <v>2304521.4700000002</v>
      </c>
      <c r="M140">
        <v>0</v>
      </c>
      <c r="O140">
        <v>-2288861.11</v>
      </c>
    </row>
    <row r="141" spans="1:16">
      <c r="H141" t="s">
        <v>53</v>
      </c>
      <c r="I141">
        <v>0</v>
      </c>
      <c r="K141" t="s">
        <v>54</v>
      </c>
      <c r="L141">
        <v>2304521.4700000002</v>
      </c>
    </row>
    <row r="143" spans="1:16">
      <c r="A143" t="s">
        <v>15</v>
      </c>
      <c r="B143">
        <v>239</v>
      </c>
      <c r="C143">
        <v>1</v>
      </c>
      <c r="D143" t="s">
        <v>16</v>
      </c>
      <c r="E143" t="s">
        <v>17</v>
      </c>
      <c r="F143">
        <v>3769494.56</v>
      </c>
      <c r="H143">
        <v>0</v>
      </c>
      <c r="I143">
        <v>0</v>
      </c>
      <c r="K143">
        <v>2618355.04</v>
      </c>
      <c r="L143">
        <v>0</v>
      </c>
      <c r="N143">
        <v>1151139.52</v>
      </c>
      <c r="P143" t="s">
        <v>150</v>
      </c>
    </row>
    <row r="144" spans="1:16">
      <c r="A144" t="s">
        <v>15</v>
      </c>
      <c r="B144">
        <v>239</v>
      </c>
      <c r="C144">
        <v>6</v>
      </c>
      <c r="D144" t="s">
        <v>110</v>
      </c>
      <c r="E144" t="s">
        <v>17</v>
      </c>
      <c r="F144">
        <v>38176.800000000003</v>
      </c>
      <c r="H144">
        <v>0</v>
      </c>
      <c r="I144">
        <v>0</v>
      </c>
      <c r="K144">
        <v>25891.200000000001</v>
      </c>
      <c r="L144">
        <v>0</v>
      </c>
      <c r="N144">
        <v>12285.6</v>
      </c>
    </row>
    <row r="145" spans="1:16">
      <c r="A145" t="s">
        <v>15</v>
      </c>
      <c r="B145">
        <v>239</v>
      </c>
      <c r="C145">
        <v>8</v>
      </c>
      <c r="D145" t="s">
        <v>151</v>
      </c>
      <c r="E145" t="s">
        <v>17</v>
      </c>
      <c r="F145">
        <v>77421.98</v>
      </c>
      <c r="H145">
        <v>0</v>
      </c>
      <c r="I145">
        <v>0</v>
      </c>
      <c r="K145">
        <v>53264.46</v>
      </c>
      <c r="L145">
        <v>0</v>
      </c>
      <c r="N145">
        <v>24157.52</v>
      </c>
    </row>
    <row r="146" spans="1:16">
      <c r="A146" t="s">
        <v>15</v>
      </c>
      <c r="B146">
        <v>239</v>
      </c>
      <c r="C146">
        <v>10</v>
      </c>
      <c r="D146" t="s">
        <v>22</v>
      </c>
      <c r="E146" t="s">
        <v>17</v>
      </c>
      <c r="F146">
        <v>511957.44</v>
      </c>
      <c r="H146">
        <v>0</v>
      </c>
      <c r="I146">
        <v>0</v>
      </c>
      <c r="K146">
        <v>355879.86</v>
      </c>
      <c r="L146">
        <v>0</v>
      </c>
      <c r="N146">
        <v>156077.57999999999</v>
      </c>
      <c r="P146" t="s">
        <v>152</v>
      </c>
    </row>
    <row r="147" spans="1:16">
      <c r="A147" t="s">
        <v>15</v>
      </c>
      <c r="B147">
        <v>239</v>
      </c>
      <c r="C147">
        <v>14</v>
      </c>
      <c r="D147" t="s">
        <v>25</v>
      </c>
      <c r="E147" t="s">
        <v>17</v>
      </c>
      <c r="F147">
        <v>923334.6</v>
      </c>
      <c r="H147">
        <v>0</v>
      </c>
      <c r="I147">
        <v>0</v>
      </c>
      <c r="K147">
        <v>646334.22</v>
      </c>
      <c r="L147">
        <v>0</v>
      </c>
      <c r="N147">
        <v>277000.38</v>
      </c>
      <c r="P147" t="s">
        <v>153</v>
      </c>
    </row>
    <row r="148" spans="1:16">
      <c r="A148" t="s">
        <v>15</v>
      </c>
      <c r="B148">
        <v>239</v>
      </c>
      <c r="C148">
        <v>16</v>
      </c>
      <c r="D148" t="s">
        <v>27</v>
      </c>
      <c r="E148" t="s">
        <v>17</v>
      </c>
      <c r="F148">
        <v>7965.68</v>
      </c>
      <c r="H148">
        <v>0</v>
      </c>
      <c r="I148">
        <v>0</v>
      </c>
      <c r="K148">
        <v>4371.0200000000004</v>
      </c>
      <c r="L148">
        <v>0</v>
      </c>
      <c r="N148">
        <v>3594.66</v>
      </c>
      <c r="P148" t="s">
        <v>154</v>
      </c>
    </row>
    <row r="149" spans="1:16">
      <c r="A149" t="s">
        <v>15</v>
      </c>
      <c r="B149">
        <v>239</v>
      </c>
      <c r="C149">
        <v>17</v>
      </c>
      <c r="D149" t="s">
        <v>29</v>
      </c>
      <c r="E149" t="s">
        <v>17</v>
      </c>
      <c r="F149">
        <v>303346.8</v>
      </c>
      <c r="H149">
        <v>0</v>
      </c>
      <c r="I149">
        <v>0</v>
      </c>
      <c r="K149">
        <v>212041.8</v>
      </c>
      <c r="L149">
        <v>0</v>
      </c>
      <c r="N149">
        <v>91305</v>
      </c>
      <c r="P149" t="s">
        <v>155</v>
      </c>
    </row>
    <row r="150" spans="1:16">
      <c r="A150" t="s">
        <v>15</v>
      </c>
      <c r="B150">
        <v>239</v>
      </c>
      <c r="C150">
        <v>18</v>
      </c>
      <c r="D150" t="s">
        <v>31</v>
      </c>
      <c r="E150" t="s">
        <v>17</v>
      </c>
      <c r="F150">
        <v>37259.279999999999</v>
      </c>
      <c r="H150">
        <v>0</v>
      </c>
      <c r="I150">
        <v>0</v>
      </c>
      <c r="K150">
        <v>18629.64</v>
      </c>
      <c r="L150">
        <v>0</v>
      </c>
      <c r="N150">
        <v>18629.64</v>
      </c>
      <c r="P150" t="s">
        <v>156</v>
      </c>
    </row>
    <row r="151" spans="1:16">
      <c r="A151" t="s">
        <v>15</v>
      </c>
      <c r="B151">
        <v>239</v>
      </c>
      <c r="C151">
        <v>102</v>
      </c>
      <c r="D151" t="s">
        <v>66</v>
      </c>
      <c r="E151" t="s">
        <v>17</v>
      </c>
      <c r="F151">
        <v>47079.76</v>
      </c>
      <c r="H151">
        <v>0</v>
      </c>
      <c r="I151">
        <v>0</v>
      </c>
      <c r="K151">
        <v>32748.04</v>
      </c>
      <c r="L151">
        <v>0</v>
      </c>
      <c r="N151">
        <v>14331.72</v>
      </c>
      <c r="P151" t="s">
        <v>157</v>
      </c>
    </row>
    <row r="152" spans="1:16">
      <c r="A152" t="s">
        <v>15</v>
      </c>
      <c r="B152">
        <v>239</v>
      </c>
      <c r="C152">
        <v>104</v>
      </c>
      <c r="D152" t="s">
        <v>34</v>
      </c>
      <c r="E152" t="s">
        <v>17</v>
      </c>
      <c r="F152">
        <v>212.66</v>
      </c>
      <c r="H152">
        <v>0</v>
      </c>
      <c r="I152">
        <v>0</v>
      </c>
      <c r="K152">
        <v>146.15</v>
      </c>
      <c r="L152">
        <v>0</v>
      </c>
      <c r="N152">
        <v>66.510000000000005</v>
      </c>
      <c r="P152" t="s">
        <v>158</v>
      </c>
    </row>
    <row r="153" spans="1:16">
      <c r="A153" t="s">
        <v>15</v>
      </c>
      <c r="B153">
        <v>239</v>
      </c>
      <c r="C153">
        <v>179</v>
      </c>
      <c r="D153" t="s">
        <v>73</v>
      </c>
      <c r="E153" t="s">
        <v>17</v>
      </c>
      <c r="F153">
        <v>125000</v>
      </c>
      <c r="H153">
        <v>0</v>
      </c>
      <c r="I153">
        <v>0</v>
      </c>
      <c r="K153">
        <v>85959</v>
      </c>
      <c r="L153">
        <v>0</v>
      </c>
      <c r="N153">
        <v>39041</v>
      </c>
      <c r="P153" t="s">
        <v>159</v>
      </c>
    </row>
    <row r="154" spans="1:16">
      <c r="A154" t="s">
        <v>15</v>
      </c>
      <c r="B154">
        <v>239</v>
      </c>
      <c r="C154">
        <v>195</v>
      </c>
      <c r="D154" t="s">
        <v>38</v>
      </c>
      <c r="E154" t="s">
        <v>17</v>
      </c>
      <c r="F154">
        <v>400000</v>
      </c>
      <c r="H154">
        <v>0</v>
      </c>
      <c r="I154">
        <v>0</v>
      </c>
      <c r="K154">
        <v>452494.53</v>
      </c>
      <c r="L154">
        <v>0</v>
      </c>
      <c r="N154">
        <v>-52494.53</v>
      </c>
      <c r="P154" t="s">
        <v>160</v>
      </c>
    </row>
    <row r="155" spans="1:16">
      <c r="A155" t="s">
        <v>15</v>
      </c>
      <c r="B155">
        <v>239</v>
      </c>
      <c r="C155">
        <v>203</v>
      </c>
      <c r="D155" t="s">
        <v>161</v>
      </c>
      <c r="E155" t="s">
        <v>17</v>
      </c>
      <c r="F155">
        <v>300000</v>
      </c>
      <c r="H155">
        <v>0</v>
      </c>
      <c r="I155">
        <v>0</v>
      </c>
      <c r="K155">
        <v>47800</v>
      </c>
      <c r="L155">
        <v>0</v>
      </c>
      <c r="N155">
        <v>252200</v>
      </c>
    </row>
    <row r="156" spans="1:16">
      <c r="A156" t="s">
        <v>15</v>
      </c>
      <c r="B156">
        <v>239</v>
      </c>
      <c r="C156">
        <v>204</v>
      </c>
      <c r="D156" t="s">
        <v>42</v>
      </c>
      <c r="E156" t="s">
        <v>17</v>
      </c>
      <c r="F156">
        <v>20000</v>
      </c>
      <c r="H156">
        <v>0</v>
      </c>
      <c r="I156">
        <v>0</v>
      </c>
      <c r="K156">
        <v>20492.43</v>
      </c>
      <c r="L156">
        <v>0</v>
      </c>
      <c r="N156">
        <v>-492.43</v>
      </c>
      <c r="P156" t="s">
        <v>162</v>
      </c>
    </row>
    <row r="157" spans="1:16">
      <c r="A157" t="s">
        <v>15</v>
      </c>
      <c r="B157">
        <v>239</v>
      </c>
      <c r="C157">
        <v>210</v>
      </c>
      <c r="D157" t="s">
        <v>44</v>
      </c>
      <c r="E157" t="s">
        <v>17</v>
      </c>
      <c r="F157">
        <v>53936.21</v>
      </c>
      <c r="H157">
        <v>0</v>
      </c>
      <c r="I157">
        <v>0</v>
      </c>
      <c r="K157">
        <v>0</v>
      </c>
      <c r="L157">
        <v>0</v>
      </c>
      <c r="N157">
        <v>53936.21</v>
      </c>
    </row>
    <row r="158" spans="1:16">
      <c r="A158" t="s">
        <v>15</v>
      </c>
      <c r="B158">
        <v>239</v>
      </c>
      <c r="C158">
        <v>211</v>
      </c>
      <c r="D158" t="s">
        <v>163</v>
      </c>
      <c r="E158" t="s">
        <v>17</v>
      </c>
      <c r="F158">
        <v>8000</v>
      </c>
      <c r="H158">
        <v>0</v>
      </c>
      <c r="I158">
        <v>0</v>
      </c>
      <c r="K158">
        <v>4000</v>
      </c>
      <c r="L158">
        <v>0</v>
      </c>
      <c r="N158">
        <v>4000</v>
      </c>
      <c r="P158" t="s">
        <v>164</v>
      </c>
    </row>
    <row r="159" spans="1:16">
      <c r="A159" t="s">
        <v>15</v>
      </c>
      <c r="B159">
        <v>239</v>
      </c>
      <c r="C159">
        <v>8831</v>
      </c>
      <c r="D159" t="s">
        <v>165</v>
      </c>
      <c r="E159" t="s">
        <v>46</v>
      </c>
      <c r="F159">
        <v>-500000</v>
      </c>
      <c r="H159">
        <v>0</v>
      </c>
      <c r="I159">
        <v>0</v>
      </c>
      <c r="K159">
        <v>0</v>
      </c>
      <c r="L159">
        <v>0</v>
      </c>
      <c r="N159">
        <v>-500000</v>
      </c>
      <c r="P159" t="s">
        <v>166</v>
      </c>
    </row>
    <row r="160" spans="1:16">
      <c r="A160" t="s">
        <v>15</v>
      </c>
      <c r="B160">
        <v>239</v>
      </c>
      <c r="C160">
        <v>8875</v>
      </c>
      <c r="D160" t="s">
        <v>121</v>
      </c>
      <c r="E160" t="s">
        <v>46</v>
      </c>
      <c r="F160">
        <v>-6361891.79</v>
      </c>
      <c r="H160">
        <v>0</v>
      </c>
      <c r="I160">
        <v>0</v>
      </c>
      <c r="K160">
        <v>0</v>
      </c>
      <c r="L160">
        <v>0</v>
      </c>
      <c r="N160">
        <v>-6361891.79</v>
      </c>
    </row>
    <row r="161" spans="1:16">
      <c r="C161" t="s">
        <v>167</v>
      </c>
      <c r="D161" t="s">
        <v>168</v>
      </c>
      <c r="F161" t="s">
        <v>52</v>
      </c>
      <c r="G161">
        <v>-238706.02</v>
      </c>
      <c r="I161">
        <v>0</v>
      </c>
      <c r="J161">
        <v>0</v>
      </c>
      <c r="L161">
        <v>4578407.3899999997</v>
      </c>
      <c r="M161">
        <v>0</v>
      </c>
      <c r="O161">
        <v>-4817113.41</v>
      </c>
    </row>
    <row r="162" spans="1:16">
      <c r="H162" t="s">
        <v>53</v>
      </c>
      <c r="I162">
        <v>0</v>
      </c>
      <c r="K162" t="s">
        <v>54</v>
      </c>
      <c r="L162">
        <v>4578407.3899999997</v>
      </c>
    </row>
    <row r="164" spans="1:16">
      <c r="A164" t="s">
        <v>15</v>
      </c>
      <c r="B164">
        <v>244</v>
      </c>
      <c r="C164">
        <v>1</v>
      </c>
      <c r="D164" t="s">
        <v>16</v>
      </c>
      <c r="E164" t="s">
        <v>17</v>
      </c>
      <c r="F164">
        <v>3606672</v>
      </c>
      <c r="H164">
        <v>0</v>
      </c>
      <c r="I164">
        <v>0</v>
      </c>
      <c r="K164">
        <v>2566156.83</v>
      </c>
      <c r="L164">
        <v>0</v>
      </c>
      <c r="N164">
        <v>1040515.17</v>
      </c>
      <c r="P164" t="s">
        <v>169</v>
      </c>
    </row>
    <row r="165" spans="1:16">
      <c r="A165" t="s">
        <v>15</v>
      </c>
      <c r="B165">
        <v>244</v>
      </c>
      <c r="C165">
        <v>3</v>
      </c>
      <c r="D165" t="s">
        <v>56</v>
      </c>
      <c r="E165" t="s">
        <v>17</v>
      </c>
      <c r="F165">
        <v>23525.8</v>
      </c>
      <c r="H165">
        <v>0</v>
      </c>
      <c r="I165">
        <v>0</v>
      </c>
      <c r="K165">
        <v>16747.62</v>
      </c>
      <c r="L165">
        <v>0</v>
      </c>
      <c r="N165">
        <v>6778.18</v>
      </c>
      <c r="P165" t="s">
        <v>170</v>
      </c>
    </row>
    <row r="166" spans="1:16">
      <c r="A166" t="s">
        <v>15</v>
      </c>
      <c r="B166">
        <v>244</v>
      </c>
      <c r="C166">
        <v>4</v>
      </c>
      <c r="D166" t="s">
        <v>58</v>
      </c>
      <c r="E166" t="s">
        <v>17</v>
      </c>
      <c r="F166">
        <v>1822.1</v>
      </c>
      <c r="H166">
        <v>0</v>
      </c>
      <c r="I166">
        <v>0</v>
      </c>
      <c r="K166">
        <v>911.05</v>
      </c>
      <c r="L166">
        <v>0</v>
      </c>
      <c r="N166">
        <v>911.05</v>
      </c>
      <c r="P166" t="s">
        <v>171</v>
      </c>
    </row>
    <row r="167" spans="1:16">
      <c r="A167" t="s">
        <v>15</v>
      </c>
      <c r="B167">
        <v>244</v>
      </c>
      <c r="C167">
        <v>6</v>
      </c>
      <c r="D167" t="s">
        <v>19</v>
      </c>
      <c r="E167" t="s">
        <v>17</v>
      </c>
      <c r="F167">
        <v>210890.7</v>
      </c>
      <c r="H167">
        <v>0</v>
      </c>
      <c r="I167">
        <v>0</v>
      </c>
      <c r="K167">
        <v>148746.75</v>
      </c>
      <c r="L167">
        <v>0</v>
      </c>
      <c r="N167">
        <v>62143.95</v>
      </c>
      <c r="P167" t="s">
        <v>172</v>
      </c>
    </row>
    <row r="168" spans="1:16">
      <c r="A168" t="s">
        <v>15</v>
      </c>
      <c r="B168">
        <v>244</v>
      </c>
      <c r="C168">
        <v>8</v>
      </c>
      <c r="D168" t="s">
        <v>173</v>
      </c>
      <c r="E168" t="s">
        <v>17</v>
      </c>
      <c r="F168">
        <v>5236.4799999999996</v>
      </c>
      <c r="H168">
        <v>0</v>
      </c>
      <c r="I168">
        <v>0</v>
      </c>
      <c r="K168">
        <v>2618.2399999999998</v>
      </c>
      <c r="L168">
        <v>0</v>
      </c>
      <c r="N168">
        <v>2618.2399999999998</v>
      </c>
      <c r="P168" t="s">
        <v>174</v>
      </c>
    </row>
    <row r="169" spans="1:16">
      <c r="A169" t="s">
        <v>15</v>
      </c>
      <c r="B169">
        <v>244</v>
      </c>
      <c r="C169">
        <v>10</v>
      </c>
      <c r="D169" t="s">
        <v>22</v>
      </c>
      <c r="E169" t="s">
        <v>17</v>
      </c>
      <c r="F169">
        <v>608153.84</v>
      </c>
      <c r="H169">
        <v>0</v>
      </c>
      <c r="I169">
        <v>0</v>
      </c>
      <c r="K169">
        <v>428023.86</v>
      </c>
      <c r="L169">
        <v>0</v>
      </c>
      <c r="N169">
        <v>180129.98</v>
      </c>
      <c r="P169" t="s">
        <v>175</v>
      </c>
    </row>
    <row r="170" spans="1:16">
      <c r="A170" t="s">
        <v>15</v>
      </c>
      <c r="B170">
        <v>244</v>
      </c>
      <c r="C170">
        <v>11</v>
      </c>
      <c r="D170" t="s">
        <v>24</v>
      </c>
      <c r="E170" t="s">
        <v>17</v>
      </c>
      <c r="F170">
        <v>8448.2000000000007</v>
      </c>
      <c r="H170">
        <v>0</v>
      </c>
      <c r="I170">
        <v>0</v>
      </c>
      <c r="K170">
        <v>8448.2000000000007</v>
      </c>
      <c r="L170">
        <v>0</v>
      </c>
      <c r="P170" t="s">
        <v>176</v>
      </c>
    </row>
    <row r="171" spans="1:16">
      <c r="A171" t="s">
        <v>15</v>
      </c>
      <c r="B171">
        <v>244</v>
      </c>
      <c r="C171">
        <v>14</v>
      </c>
      <c r="D171" t="s">
        <v>25</v>
      </c>
      <c r="E171" t="s">
        <v>17</v>
      </c>
      <c r="F171">
        <v>277910.15999999997</v>
      </c>
      <c r="H171">
        <v>0</v>
      </c>
      <c r="I171">
        <v>0</v>
      </c>
      <c r="K171">
        <v>195875.08</v>
      </c>
      <c r="L171">
        <v>0</v>
      </c>
      <c r="N171">
        <v>82035.08</v>
      </c>
      <c r="P171" t="s">
        <v>177</v>
      </c>
    </row>
    <row r="172" spans="1:16">
      <c r="A172" t="s">
        <v>15</v>
      </c>
      <c r="B172">
        <v>244</v>
      </c>
      <c r="C172">
        <v>16</v>
      </c>
      <c r="D172" t="s">
        <v>27</v>
      </c>
      <c r="E172" t="s">
        <v>17</v>
      </c>
      <c r="F172">
        <v>28302.44</v>
      </c>
      <c r="H172">
        <v>0</v>
      </c>
      <c r="I172">
        <v>0</v>
      </c>
      <c r="K172">
        <v>20121.740000000002</v>
      </c>
      <c r="L172">
        <v>0</v>
      </c>
      <c r="N172">
        <v>8180.7</v>
      </c>
      <c r="P172" t="s">
        <v>178</v>
      </c>
    </row>
    <row r="173" spans="1:16">
      <c r="A173" t="s">
        <v>15</v>
      </c>
      <c r="B173">
        <v>244</v>
      </c>
      <c r="C173">
        <v>17</v>
      </c>
      <c r="D173" t="s">
        <v>29</v>
      </c>
      <c r="E173" t="s">
        <v>17</v>
      </c>
      <c r="F173">
        <v>39772</v>
      </c>
      <c r="H173">
        <v>0</v>
      </c>
      <c r="I173">
        <v>0</v>
      </c>
      <c r="K173">
        <v>0</v>
      </c>
      <c r="L173">
        <v>-7619.6</v>
      </c>
      <c r="N173">
        <v>47391.6</v>
      </c>
      <c r="P173" t="s">
        <v>179</v>
      </c>
    </row>
    <row r="174" spans="1:16">
      <c r="A174" t="s">
        <v>15</v>
      </c>
      <c r="B174">
        <v>244</v>
      </c>
      <c r="C174">
        <v>18</v>
      </c>
      <c r="D174" t="s">
        <v>31</v>
      </c>
      <c r="E174" t="s">
        <v>17</v>
      </c>
      <c r="F174">
        <v>274277.59999999998</v>
      </c>
      <c r="H174">
        <v>0</v>
      </c>
      <c r="I174">
        <v>0</v>
      </c>
      <c r="K174">
        <v>160101.07</v>
      </c>
      <c r="L174">
        <v>0</v>
      </c>
      <c r="N174">
        <v>114176.53</v>
      </c>
      <c r="P174" t="s">
        <v>180</v>
      </c>
    </row>
    <row r="175" spans="1:16">
      <c r="A175" t="s">
        <v>15</v>
      </c>
      <c r="B175">
        <v>244</v>
      </c>
      <c r="C175">
        <v>102</v>
      </c>
      <c r="D175" t="s">
        <v>66</v>
      </c>
      <c r="E175" t="s">
        <v>17</v>
      </c>
      <c r="F175">
        <v>42131.360000000001</v>
      </c>
      <c r="H175">
        <v>0</v>
      </c>
      <c r="I175">
        <v>0</v>
      </c>
      <c r="K175">
        <v>29547.56</v>
      </c>
      <c r="L175">
        <v>0</v>
      </c>
      <c r="N175">
        <v>12583.8</v>
      </c>
      <c r="P175" t="s">
        <v>181</v>
      </c>
    </row>
    <row r="176" spans="1:16">
      <c r="A176" t="s">
        <v>15</v>
      </c>
      <c r="B176">
        <v>244</v>
      </c>
      <c r="C176">
        <v>104</v>
      </c>
      <c r="D176" t="s">
        <v>34</v>
      </c>
      <c r="E176" t="s">
        <v>17</v>
      </c>
      <c r="F176">
        <v>1564.36</v>
      </c>
      <c r="H176">
        <v>0</v>
      </c>
      <c r="I176">
        <v>0</v>
      </c>
      <c r="K176">
        <v>1133.02</v>
      </c>
      <c r="L176">
        <v>0</v>
      </c>
      <c r="N176">
        <v>431.34</v>
      </c>
      <c r="P176" t="s">
        <v>182</v>
      </c>
    </row>
    <row r="177" spans="1:16">
      <c r="A177" t="s">
        <v>15</v>
      </c>
      <c r="B177">
        <v>244</v>
      </c>
      <c r="C177">
        <v>109</v>
      </c>
      <c r="D177" t="s">
        <v>183</v>
      </c>
      <c r="E177" t="s">
        <v>17</v>
      </c>
      <c r="F177">
        <v>128750</v>
      </c>
      <c r="H177">
        <v>0</v>
      </c>
      <c r="I177">
        <v>0</v>
      </c>
      <c r="K177">
        <v>2183</v>
      </c>
      <c r="L177">
        <v>0</v>
      </c>
      <c r="N177">
        <v>126567</v>
      </c>
      <c r="P177" t="s">
        <v>184</v>
      </c>
    </row>
    <row r="178" spans="1:16">
      <c r="A178" t="s">
        <v>15</v>
      </c>
      <c r="B178">
        <v>244</v>
      </c>
      <c r="C178">
        <v>111</v>
      </c>
      <c r="D178" t="s">
        <v>185</v>
      </c>
      <c r="E178" t="s">
        <v>17</v>
      </c>
      <c r="F178">
        <v>250000</v>
      </c>
      <c r="H178">
        <v>0</v>
      </c>
      <c r="I178">
        <v>0</v>
      </c>
      <c r="K178">
        <v>99649.38</v>
      </c>
      <c r="L178">
        <v>0</v>
      </c>
      <c r="N178">
        <v>150350.62</v>
      </c>
      <c r="P178" t="s">
        <v>186</v>
      </c>
    </row>
    <row r="179" spans="1:16">
      <c r="A179" t="s">
        <v>15</v>
      </c>
      <c r="B179">
        <v>244</v>
      </c>
      <c r="C179">
        <v>123</v>
      </c>
      <c r="D179" t="s">
        <v>187</v>
      </c>
      <c r="E179" t="s">
        <v>17</v>
      </c>
      <c r="F179">
        <v>700000</v>
      </c>
      <c r="H179">
        <v>0</v>
      </c>
      <c r="I179">
        <v>0</v>
      </c>
      <c r="K179">
        <v>401261.6</v>
      </c>
      <c r="L179">
        <v>0</v>
      </c>
      <c r="N179">
        <v>298738.40000000002</v>
      </c>
      <c r="P179" t="s">
        <v>188</v>
      </c>
    </row>
    <row r="180" spans="1:16">
      <c r="A180" t="s">
        <v>15</v>
      </c>
      <c r="B180">
        <v>244</v>
      </c>
      <c r="C180">
        <v>135</v>
      </c>
      <c r="D180" t="s">
        <v>189</v>
      </c>
      <c r="E180" t="s">
        <v>17</v>
      </c>
      <c r="F180">
        <v>100000</v>
      </c>
      <c r="H180">
        <v>0</v>
      </c>
      <c r="I180">
        <v>0</v>
      </c>
      <c r="K180">
        <v>80668.69</v>
      </c>
      <c r="L180">
        <v>0</v>
      </c>
      <c r="N180">
        <v>19331.310000000001</v>
      </c>
      <c r="P180" t="s">
        <v>190</v>
      </c>
    </row>
    <row r="181" spans="1:16">
      <c r="A181" t="s">
        <v>15</v>
      </c>
      <c r="B181">
        <v>244</v>
      </c>
      <c r="C181">
        <v>172</v>
      </c>
      <c r="D181" t="s">
        <v>191</v>
      </c>
      <c r="E181" t="s">
        <v>17</v>
      </c>
      <c r="F181">
        <v>2300000</v>
      </c>
      <c r="H181">
        <v>0</v>
      </c>
      <c r="I181">
        <v>0</v>
      </c>
      <c r="K181">
        <v>377615.83</v>
      </c>
      <c r="L181">
        <v>0</v>
      </c>
      <c r="N181">
        <v>1922384.17</v>
      </c>
      <c r="P181" t="s">
        <v>192</v>
      </c>
    </row>
    <row r="182" spans="1:16">
      <c r="A182" t="s">
        <v>15</v>
      </c>
      <c r="B182">
        <v>244</v>
      </c>
      <c r="C182">
        <v>173</v>
      </c>
      <c r="D182" t="s">
        <v>193</v>
      </c>
      <c r="E182" t="s">
        <v>17</v>
      </c>
      <c r="F182">
        <v>100000</v>
      </c>
      <c r="H182">
        <v>0</v>
      </c>
      <c r="I182">
        <v>0</v>
      </c>
      <c r="K182">
        <v>8094.87</v>
      </c>
      <c r="L182">
        <v>0</v>
      </c>
      <c r="N182">
        <v>91905.13</v>
      </c>
      <c r="P182" t="s">
        <v>194</v>
      </c>
    </row>
    <row r="183" spans="1:16">
      <c r="A183" t="s">
        <v>15</v>
      </c>
      <c r="B183">
        <v>244</v>
      </c>
      <c r="C183">
        <v>175</v>
      </c>
      <c r="D183" t="s">
        <v>195</v>
      </c>
      <c r="E183" t="s">
        <v>17</v>
      </c>
      <c r="F183">
        <v>9200</v>
      </c>
      <c r="H183">
        <v>0</v>
      </c>
      <c r="I183">
        <v>0</v>
      </c>
      <c r="K183">
        <v>5296.28</v>
      </c>
      <c r="L183">
        <v>0</v>
      </c>
      <c r="N183">
        <v>3903.72</v>
      </c>
      <c r="P183" t="s">
        <v>196</v>
      </c>
    </row>
    <row r="184" spans="1:16">
      <c r="A184" t="s">
        <v>15</v>
      </c>
      <c r="B184">
        <v>244</v>
      </c>
      <c r="C184">
        <v>179</v>
      </c>
      <c r="D184" t="s">
        <v>73</v>
      </c>
      <c r="E184" t="s">
        <v>17</v>
      </c>
      <c r="F184">
        <v>200000</v>
      </c>
      <c r="H184">
        <v>0</v>
      </c>
      <c r="I184">
        <v>0</v>
      </c>
      <c r="K184">
        <v>52656.28</v>
      </c>
      <c r="L184">
        <v>0</v>
      </c>
      <c r="N184">
        <v>147343.72</v>
      </c>
      <c r="P184" t="s">
        <v>197</v>
      </c>
    </row>
    <row r="185" spans="1:16">
      <c r="A185" t="s">
        <v>15</v>
      </c>
      <c r="B185">
        <v>244</v>
      </c>
      <c r="C185">
        <v>180</v>
      </c>
      <c r="D185" t="s">
        <v>198</v>
      </c>
      <c r="E185" t="s">
        <v>17</v>
      </c>
      <c r="F185">
        <v>150000</v>
      </c>
      <c r="H185">
        <v>0</v>
      </c>
      <c r="I185">
        <v>0</v>
      </c>
      <c r="K185">
        <v>0</v>
      </c>
      <c r="L185">
        <v>0</v>
      </c>
      <c r="N185">
        <v>150000</v>
      </c>
    </row>
    <row r="186" spans="1:16">
      <c r="A186" t="s">
        <v>15</v>
      </c>
      <c r="B186">
        <v>244</v>
      </c>
      <c r="C186">
        <v>182</v>
      </c>
      <c r="D186" t="s">
        <v>199</v>
      </c>
      <c r="E186" t="s">
        <v>17</v>
      </c>
      <c r="F186">
        <v>900000</v>
      </c>
      <c r="H186">
        <v>0</v>
      </c>
      <c r="I186">
        <v>0</v>
      </c>
      <c r="K186">
        <v>487050.91</v>
      </c>
      <c r="L186">
        <v>0</v>
      </c>
      <c r="N186">
        <v>412949.09</v>
      </c>
      <c r="P186" t="s">
        <v>200</v>
      </c>
    </row>
    <row r="187" spans="1:16">
      <c r="A187" t="s">
        <v>15</v>
      </c>
      <c r="B187">
        <v>244</v>
      </c>
      <c r="C187">
        <v>191</v>
      </c>
      <c r="D187" t="s">
        <v>201</v>
      </c>
      <c r="E187" t="s">
        <v>17</v>
      </c>
      <c r="F187">
        <v>6000</v>
      </c>
      <c r="H187">
        <v>0</v>
      </c>
      <c r="I187">
        <v>0</v>
      </c>
      <c r="K187">
        <v>1408</v>
      </c>
      <c r="L187">
        <v>0</v>
      </c>
      <c r="N187">
        <v>4592</v>
      </c>
      <c r="P187" t="s">
        <v>202</v>
      </c>
    </row>
    <row r="188" spans="1:16">
      <c r="A188" t="s">
        <v>15</v>
      </c>
      <c r="B188">
        <v>244</v>
      </c>
      <c r="C188">
        <v>193</v>
      </c>
      <c r="D188" t="s">
        <v>36</v>
      </c>
      <c r="E188" t="s">
        <v>17</v>
      </c>
      <c r="F188">
        <v>2300000</v>
      </c>
      <c r="H188">
        <v>0</v>
      </c>
      <c r="I188">
        <v>0</v>
      </c>
      <c r="K188">
        <v>642370.92000000004</v>
      </c>
      <c r="L188">
        <v>0</v>
      </c>
      <c r="N188">
        <v>1657629.08</v>
      </c>
      <c r="P188" t="s">
        <v>203</v>
      </c>
    </row>
    <row r="189" spans="1:16">
      <c r="A189" t="s">
        <v>15</v>
      </c>
      <c r="B189">
        <v>244</v>
      </c>
      <c r="C189">
        <v>195</v>
      </c>
      <c r="D189" t="s">
        <v>38</v>
      </c>
      <c r="E189" t="s">
        <v>17</v>
      </c>
      <c r="F189">
        <v>219600</v>
      </c>
      <c r="H189">
        <v>0</v>
      </c>
      <c r="I189">
        <v>0</v>
      </c>
      <c r="K189">
        <v>142869.91</v>
      </c>
      <c r="L189">
        <v>0</v>
      </c>
      <c r="N189">
        <v>76730.09</v>
      </c>
      <c r="P189" t="s">
        <v>204</v>
      </c>
    </row>
    <row r="190" spans="1:16">
      <c r="A190" t="s">
        <v>15</v>
      </c>
      <c r="B190">
        <v>244</v>
      </c>
      <c r="C190">
        <v>201</v>
      </c>
      <c r="D190" t="s">
        <v>40</v>
      </c>
      <c r="E190" t="s">
        <v>17</v>
      </c>
      <c r="F190">
        <v>106000</v>
      </c>
      <c r="H190">
        <v>0</v>
      </c>
      <c r="I190">
        <v>0</v>
      </c>
      <c r="K190">
        <v>11450</v>
      </c>
      <c r="L190">
        <v>0</v>
      </c>
      <c r="N190">
        <v>94550</v>
      </c>
      <c r="P190" t="s">
        <v>205</v>
      </c>
    </row>
    <row r="191" spans="1:16">
      <c r="A191" t="s">
        <v>15</v>
      </c>
      <c r="B191">
        <v>244</v>
      </c>
      <c r="C191">
        <v>204</v>
      </c>
      <c r="D191" t="s">
        <v>42</v>
      </c>
      <c r="E191" t="s">
        <v>17</v>
      </c>
      <c r="F191">
        <v>130000</v>
      </c>
      <c r="H191">
        <v>0</v>
      </c>
      <c r="I191">
        <v>0</v>
      </c>
      <c r="K191">
        <v>104071.8</v>
      </c>
      <c r="L191">
        <v>0</v>
      </c>
      <c r="N191">
        <v>25928.2</v>
      </c>
      <c r="P191" t="s">
        <v>206</v>
      </c>
    </row>
    <row r="192" spans="1:16">
      <c r="A192" t="s">
        <v>15</v>
      </c>
      <c r="B192">
        <v>244</v>
      </c>
      <c r="C192">
        <v>206</v>
      </c>
      <c r="D192" t="s">
        <v>141</v>
      </c>
      <c r="E192" t="s">
        <v>17</v>
      </c>
      <c r="F192">
        <v>500000</v>
      </c>
      <c r="H192">
        <v>0</v>
      </c>
      <c r="I192">
        <v>0</v>
      </c>
      <c r="K192">
        <v>7100</v>
      </c>
      <c r="L192">
        <v>0</v>
      </c>
      <c r="N192">
        <v>492900</v>
      </c>
    </row>
    <row r="193" spans="1:16">
      <c r="A193" t="s">
        <v>15</v>
      </c>
      <c r="B193">
        <v>244</v>
      </c>
      <c r="C193">
        <v>208</v>
      </c>
      <c r="D193" t="s">
        <v>207</v>
      </c>
      <c r="E193" t="s">
        <v>17</v>
      </c>
      <c r="F193">
        <v>192000</v>
      </c>
      <c r="H193">
        <v>0</v>
      </c>
      <c r="I193">
        <v>0</v>
      </c>
      <c r="K193">
        <v>107533.5</v>
      </c>
      <c r="L193">
        <v>0</v>
      </c>
      <c r="N193">
        <v>84466.5</v>
      </c>
      <c r="P193" t="s">
        <v>208</v>
      </c>
    </row>
    <row r="194" spans="1:16">
      <c r="A194" t="s">
        <v>15</v>
      </c>
      <c r="B194">
        <v>244</v>
      </c>
      <c r="C194">
        <v>209</v>
      </c>
      <c r="D194" t="s">
        <v>209</v>
      </c>
      <c r="E194" t="s">
        <v>46</v>
      </c>
      <c r="F194">
        <v>980000</v>
      </c>
      <c r="H194">
        <v>0</v>
      </c>
      <c r="I194">
        <v>0</v>
      </c>
      <c r="K194">
        <v>764544.91</v>
      </c>
      <c r="L194">
        <v>0</v>
      </c>
      <c r="N194">
        <v>215455.09</v>
      </c>
      <c r="P194" t="s">
        <v>210</v>
      </c>
    </row>
    <row r="195" spans="1:16">
      <c r="A195" t="s">
        <v>15</v>
      </c>
      <c r="B195">
        <v>244</v>
      </c>
      <c r="C195">
        <v>210</v>
      </c>
      <c r="D195" t="s">
        <v>44</v>
      </c>
      <c r="E195" t="s">
        <v>17</v>
      </c>
      <c r="F195">
        <v>2397080.89</v>
      </c>
      <c r="H195">
        <v>0</v>
      </c>
      <c r="I195">
        <v>0</v>
      </c>
      <c r="K195">
        <v>0</v>
      </c>
      <c r="L195">
        <v>0</v>
      </c>
      <c r="N195">
        <v>2397080.89</v>
      </c>
    </row>
    <row r="196" spans="1:16">
      <c r="A196" t="s">
        <v>15</v>
      </c>
      <c r="B196">
        <v>244</v>
      </c>
      <c r="C196">
        <v>253</v>
      </c>
      <c r="D196" t="s">
        <v>211</v>
      </c>
      <c r="E196" t="s">
        <v>17</v>
      </c>
      <c r="F196">
        <v>2000000</v>
      </c>
      <c r="H196">
        <v>0</v>
      </c>
      <c r="I196">
        <v>0</v>
      </c>
      <c r="K196">
        <v>1423760.41</v>
      </c>
      <c r="L196">
        <v>0</v>
      </c>
      <c r="N196">
        <v>576239.59</v>
      </c>
    </row>
    <row r="197" spans="1:16">
      <c r="A197" t="s">
        <v>15</v>
      </c>
      <c r="B197">
        <v>244</v>
      </c>
      <c r="C197">
        <v>262</v>
      </c>
      <c r="D197" t="s">
        <v>212</v>
      </c>
      <c r="E197" t="s">
        <v>17</v>
      </c>
      <c r="F197">
        <v>1000000</v>
      </c>
      <c r="H197">
        <v>0</v>
      </c>
      <c r="I197">
        <v>0</v>
      </c>
      <c r="K197">
        <v>75990</v>
      </c>
      <c r="L197">
        <v>0</v>
      </c>
      <c r="N197">
        <v>924010</v>
      </c>
      <c r="P197" t="s">
        <v>213</v>
      </c>
    </row>
    <row r="198" spans="1:16">
      <c r="A198" t="s">
        <v>15</v>
      </c>
      <c r="B198">
        <v>244</v>
      </c>
      <c r="C198">
        <v>264</v>
      </c>
      <c r="D198" t="s">
        <v>214</v>
      </c>
      <c r="E198" t="s">
        <v>17</v>
      </c>
      <c r="F198">
        <v>0</v>
      </c>
      <c r="H198">
        <v>0</v>
      </c>
      <c r="I198">
        <v>0</v>
      </c>
      <c r="K198">
        <v>1140.1500000000001</v>
      </c>
      <c r="L198">
        <v>0</v>
      </c>
      <c r="N198">
        <v>-1140.1500000000001</v>
      </c>
      <c r="P198" t="s">
        <v>215</v>
      </c>
    </row>
    <row r="199" spans="1:16">
      <c r="A199" t="s">
        <v>15</v>
      </c>
      <c r="B199">
        <v>244</v>
      </c>
      <c r="C199">
        <v>268</v>
      </c>
      <c r="D199" t="s">
        <v>216</v>
      </c>
      <c r="E199" t="s">
        <v>17</v>
      </c>
      <c r="F199">
        <v>10000</v>
      </c>
      <c r="H199">
        <v>0</v>
      </c>
      <c r="I199">
        <v>0</v>
      </c>
      <c r="K199">
        <v>105.26</v>
      </c>
      <c r="L199">
        <v>0</v>
      </c>
      <c r="N199">
        <v>9894.74</v>
      </c>
      <c r="P199" t="s">
        <v>217</v>
      </c>
    </row>
    <row r="200" spans="1:16">
      <c r="A200" t="s">
        <v>15</v>
      </c>
      <c r="B200">
        <v>244</v>
      </c>
      <c r="C200">
        <v>278</v>
      </c>
      <c r="D200" t="s">
        <v>218</v>
      </c>
      <c r="E200" t="s">
        <v>17</v>
      </c>
      <c r="F200">
        <v>32000</v>
      </c>
      <c r="H200">
        <v>0</v>
      </c>
      <c r="I200">
        <v>0</v>
      </c>
      <c r="K200">
        <v>23581.24</v>
      </c>
      <c r="L200">
        <v>0</v>
      </c>
      <c r="N200">
        <v>8418.76</v>
      </c>
      <c r="P200" t="s">
        <v>219</v>
      </c>
    </row>
    <row r="201" spans="1:16">
      <c r="A201" t="s">
        <v>15</v>
      </c>
      <c r="B201">
        <v>244</v>
      </c>
      <c r="C201">
        <v>281</v>
      </c>
      <c r="D201" t="s">
        <v>94</v>
      </c>
      <c r="E201" t="s">
        <v>17</v>
      </c>
      <c r="F201">
        <v>464000</v>
      </c>
      <c r="H201">
        <v>0</v>
      </c>
      <c r="I201">
        <v>0</v>
      </c>
      <c r="K201">
        <v>101149.83</v>
      </c>
      <c r="L201">
        <v>0</v>
      </c>
      <c r="N201">
        <v>362850.17</v>
      </c>
      <c r="P201" t="s">
        <v>220</v>
      </c>
    </row>
    <row r="202" spans="1:16">
      <c r="A202" t="s">
        <v>15</v>
      </c>
      <c r="B202">
        <v>244</v>
      </c>
      <c r="C202">
        <v>284</v>
      </c>
      <c r="D202" t="s">
        <v>221</v>
      </c>
      <c r="E202" t="s">
        <v>17</v>
      </c>
      <c r="F202">
        <v>180000</v>
      </c>
      <c r="H202">
        <v>0</v>
      </c>
      <c r="I202">
        <v>0</v>
      </c>
      <c r="K202">
        <v>131160.37</v>
      </c>
      <c r="L202">
        <v>0</v>
      </c>
      <c r="N202">
        <v>48839.63</v>
      </c>
      <c r="P202" t="s">
        <v>222</v>
      </c>
    </row>
    <row r="203" spans="1:16">
      <c r="A203" t="s">
        <v>15</v>
      </c>
      <c r="B203">
        <v>244</v>
      </c>
      <c r="C203">
        <v>290</v>
      </c>
      <c r="D203" t="s">
        <v>223</v>
      </c>
      <c r="E203" t="s">
        <v>17</v>
      </c>
      <c r="F203">
        <v>1150000</v>
      </c>
      <c r="H203">
        <v>0</v>
      </c>
      <c r="I203">
        <v>0</v>
      </c>
      <c r="K203">
        <v>110552.71</v>
      </c>
      <c r="L203">
        <v>0</v>
      </c>
      <c r="N203">
        <v>1039447.29</v>
      </c>
    </row>
    <row r="204" spans="1:16">
      <c r="A204" t="s">
        <v>15</v>
      </c>
      <c r="B204">
        <v>244</v>
      </c>
      <c r="C204">
        <v>291</v>
      </c>
      <c r="D204" t="s">
        <v>224</v>
      </c>
      <c r="E204" t="s">
        <v>17</v>
      </c>
      <c r="F204">
        <v>2000000</v>
      </c>
      <c r="H204">
        <v>0</v>
      </c>
      <c r="I204">
        <v>0</v>
      </c>
      <c r="K204">
        <v>1373203.36</v>
      </c>
      <c r="L204">
        <v>0</v>
      </c>
      <c r="N204">
        <v>626796.64</v>
      </c>
      <c r="P204" t="s">
        <v>225</v>
      </c>
    </row>
    <row r="205" spans="1:16">
      <c r="A205" t="s">
        <v>15</v>
      </c>
      <c r="B205">
        <v>244</v>
      </c>
      <c r="C205">
        <v>456</v>
      </c>
      <c r="D205" t="s">
        <v>226</v>
      </c>
      <c r="E205" t="s">
        <v>17</v>
      </c>
      <c r="F205">
        <v>150000</v>
      </c>
      <c r="H205">
        <v>0</v>
      </c>
      <c r="I205">
        <v>0</v>
      </c>
      <c r="K205">
        <v>604.07000000000005</v>
      </c>
      <c r="L205">
        <v>0</v>
      </c>
      <c r="N205">
        <v>149395.93</v>
      </c>
      <c r="P205" t="s">
        <v>227</v>
      </c>
    </row>
    <row r="206" spans="1:16">
      <c r="A206" t="s">
        <v>15</v>
      </c>
      <c r="B206">
        <v>244</v>
      </c>
      <c r="C206">
        <v>457</v>
      </c>
      <c r="D206" t="s">
        <v>228</v>
      </c>
      <c r="E206" t="s">
        <v>17</v>
      </c>
      <c r="F206">
        <v>180000</v>
      </c>
      <c r="H206">
        <v>0</v>
      </c>
      <c r="I206">
        <v>0</v>
      </c>
      <c r="K206">
        <v>0</v>
      </c>
      <c r="L206">
        <v>-8340.16</v>
      </c>
      <c r="N206">
        <v>188340.16</v>
      </c>
      <c r="P206" t="s">
        <v>229</v>
      </c>
    </row>
    <row r="207" spans="1:16">
      <c r="A207" t="s">
        <v>15</v>
      </c>
      <c r="B207">
        <v>244</v>
      </c>
      <c r="C207">
        <v>8823</v>
      </c>
      <c r="D207" t="s">
        <v>230</v>
      </c>
      <c r="E207" t="s">
        <v>46</v>
      </c>
      <c r="F207">
        <v>-277399.21999999997</v>
      </c>
      <c r="H207">
        <v>0</v>
      </c>
      <c r="I207">
        <v>0</v>
      </c>
      <c r="K207">
        <v>0</v>
      </c>
      <c r="L207">
        <v>-2173.56</v>
      </c>
      <c r="N207">
        <v>-275225.65999999997</v>
      </c>
      <c r="P207" t="s">
        <v>231</v>
      </c>
    </row>
    <row r="208" spans="1:16">
      <c r="A208" t="s">
        <v>15</v>
      </c>
      <c r="B208">
        <v>244</v>
      </c>
      <c r="C208">
        <v>8855</v>
      </c>
      <c r="D208" t="s">
        <v>232</v>
      </c>
      <c r="E208" t="s">
        <v>46</v>
      </c>
      <c r="F208">
        <v>-40000</v>
      </c>
      <c r="H208">
        <v>0</v>
      </c>
      <c r="I208">
        <v>0</v>
      </c>
      <c r="K208">
        <v>0</v>
      </c>
      <c r="L208">
        <v>-22645.759999999998</v>
      </c>
      <c r="N208">
        <v>-17354.240000000002</v>
      </c>
      <c r="P208" t="s">
        <v>233</v>
      </c>
    </row>
    <row r="209" spans="1:16">
      <c r="A209" t="s">
        <v>15</v>
      </c>
      <c r="B209">
        <v>244</v>
      </c>
      <c r="C209">
        <v>8864</v>
      </c>
      <c r="D209" t="s">
        <v>234</v>
      </c>
      <c r="E209" t="s">
        <v>46</v>
      </c>
      <c r="F209">
        <v>-346000</v>
      </c>
      <c r="H209">
        <v>0</v>
      </c>
      <c r="I209">
        <v>0</v>
      </c>
      <c r="K209">
        <v>0</v>
      </c>
      <c r="L209">
        <v>-192863.08</v>
      </c>
      <c r="N209">
        <v>-153136.92000000001</v>
      </c>
      <c r="P209" t="s">
        <v>235</v>
      </c>
    </row>
    <row r="210" spans="1:16">
      <c r="A210" t="s">
        <v>15</v>
      </c>
      <c r="B210">
        <v>244</v>
      </c>
      <c r="C210">
        <v>8877</v>
      </c>
      <c r="D210" t="s">
        <v>236</v>
      </c>
      <c r="E210" t="s">
        <v>46</v>
      </c>
      <c r="F210">
        <v>0</v>
      </c>
      <c r="H210">
        <v>0</v>
      </c>
      <c r="I210">
        <v>0</v>
      </c>
      <c r="K210">
        <v>0</v>
      </c>
      <c r="L210">
        <v>-50391.61</v>
      </c>
      <c r="N210">
        <v>50391.61</v>
      </c>
      <c r="P210" t="s">
        <v>237</v>
      </c>
    </row>
    <row r="211" spans="1:16">
      <c r="A211" t="s">
        <v>15</v>
      </c>
      <c r="B211">
        <v>244</v>
      </c>
      <c r="C211">
        <v>8881</v>
      </c>
      <c r="D211" t="s">
        <v>238</v>
      </c>
      <c r="E211" t="s">
        <v>46</v>
      </c>
      <c r="F211">
        <v>-5000</v>
      </c>
      <c r="H211">
        <v>0</v>
      </c>
      <c r="I211">
        <v>0</v>
      </c>
      <c r="K211">
        <v>0</v>
      </c>
      <c r="L211">
        <v>-2894.76</v>
      </c>
      <c r="N211">
        <v>-2105.2399999999998</v>
      </c>
      <c r="P211" t="s">
        <v>239</v>
      </c>
    </row>
    <row r="212" spans="1:16">
      <c r="C212" t="s">
        <v>240</v>
      </c>
      <c r="D212" t="s">
        <v>241</v>
      </c>
      <c r="F212" t="s">
        <v>52</v>
      </c>
      <c r="G212">
        <v>23294938.710000001</v>
      </c>
      <c r="I212">
        <v>0</v>
      </c>
      <c r="J212">
        <v>0</v>
      </c>
      <c r="L212">
        <v>10115504.300000001</v>
      </c>
      <c r="M212">
        <v>-286928.53000000003</v>
      </c>
      <c r="O212">
        <v>13466362.939999999</v>
      </c>
    </row>
    <row r="213" spans="1:16">
      <c r="H213" t="s">
        <v>53</v>
      </c>
      <c r="I213">
        <v>0</v>
      </c>
      <c r="K213" t="s">
        <v>54</v>
      </c>
      <c r="L213">
        <v>9828575.7699999996</v>
      </c>
    </row>
    <row r="215" spans="1:16">
      <c r="A215" t="s">
        <v>15</v>
      </c>
      <c r="B215">
        <v>245</v>
      </c>
      <c r="C215">
        <v>1</v>
      </c>
      <c r="D215" t="s">
        <v>16</v>
      </c>
      <c r="E215" t="s">
        <v>17</v>
      </c>
      <c r="F215">
        <v>1089326.46</v>
      </c>
      <c r="H215">
        <v>0</v>
      </c>
      <c r="I215">
        <v>0</v>
      </c>
      <c r="K215">
        <v>703448.97</v>
      </c>
      <c r="L215">
        <v>0</v>
      </c>
      <c r="N215">
        <v>385877.49</v>
      </c>
      <c r="P215" t="s">
        <v>242</v>
      </c>
    </row>
    <row r="216" spans="1:16">
      <c r="A216" t="s">
        <v>15</v>
      </c>
      <c r="B216">
        <v>245</v>
      </c>
      <c r="C216">
        <v>3</v>
      </c>
      <c r="D216" t="s">
        <v>56</v>
      </c>
      <c r="E216" t="s">
        <v>17</v>
      </c>
      <c r="F216">
        <v>18000</v>
      </c>
      <c r="H216">
        <v>0</v>
      </c>
      <c r="I216">
        <v>0</v>
      </c>
      <c r="K216">
        <v>11000</v>
      </c>
      <c r="L216">
        <v>0</v>
      </c>
      <c r="N216">
        <v>7000</v>
      </c>
    </row>
    <row r="217" spans="1:16">
      <c r="A217" t="s">
        <v>15</v>
      </c>
      <c r="B217">
        <v>245</v>
      </c>
      <c r="C217">
        <v>6</v>
      </c>
      <c r="D217" t="s">
        <v>19</v>
      </c>
      <c r="E217" t="s">
        <v>17</v>
      </c>
      <c r="F217">
        <v>12546</v>
      </c>
      <c r="H217">
        <v>0</v>
      </c>
      <c r="I217">
        <v>0</v>
      </c>
      <c r="K217">
        <v>8956.7999999999993</v>
      </c>
      <c r="L217">
        <v>0</v>
      </c>
      <c r="N217">
        <v>3589.2</v>
      </c>
      <c r="P217" t="s">
        <v>243</v>
      </c>
    </row>
    <row r="218" spans="1:16">
      <c r="A218" t="s">
        <v>15</v>
      </c>
      <c r="B218">
        <v>245</v>
      </c>
      <c r="C218">
        <v>8</v>
      </c>
      <c r="D218" t="s">
        <v>173</v>
      </c>
      <c r="E218" t="s">
        <v>17</v>
      </c>
      <c r="F218">
        <v>31949.25</v>
      </c>
      <c r="H218">
        <v>0</v>
      </c>
      <c r="I218">
        <v>0</v>
      </c>
      <c r="K218">
        <v>0</v>
      </c>
      <c r="L218">
        <v>0</v>
      </c>
      <c r="N218">
        <v>31949.25</v>
      </c>
      <c r="P218" t="s">
        <v>244</v>
      </c>
    </row>
    <row r="219" spans="1:16">
      <c r="A219" t="s">
        <v>15</v>
      </c>
      <c r="B219">
        <v>245</v>
      </c>
      <c r="C219">
        <v>10</v>
      </c>
      <c r="D219" t="s">
        <v>22</v>
      </c>
      <c r="E219" t="s">
        <v>17</v>
      </c>
      <c r="F219">
        <v>32719.94</v>
      </c>
      <c r="H219">
        <v>0</v>
      </c>
      <c r="I219">
        <v>0</v>
      </c>
      <c r="K219">
        <v>23095.73</v>
      </c>
      <c r="L219">
        <v>0</v>
      </c>
      <c r="N219">
        <v>9624.2099999999991</v>
      </c>
      <c r="P219" t="s">
        <v>245</v>
      </c>
    </row>
    <row r="220" spans="1:16">
      <c r="A220" t="s">
        <v>15</v>
      </c>
      <c r="B220">
        <v>245</v>
      </c>
      <c r="C220">
        <v>14</v>
      </c>
      <c r="D220" t="s">
        <v>25</v>
      </c>
      <c r="E220" t="s">
        <v>17</v>
      </c>
      <c r="F220">
        <v>60000</v>
      </c>
      <c r="H220">
        <v>0</v>
      </c>
      <c r="I220">
        <v>0</v>
      </c>
      <c r="K220">
        <v>42000</v>
      </c>
      <c r="L220">
        <v>0</v>
      </c>
      <c r="N220">
        <v>18000</v>
      </c>
      <c r="P220" t="s">
        <v>246</v>
      </c>
    </row>
    <row r="221" spans="1:16">
      <c r="A221" t="s">
        <v>15</v>
      </c>
      <c r="B221">
        <v>245</v>
      </c>
      <c r="C221">
        <v>16</v>
      </c>
      <c r="D221" t="s">
        <v>27</v>
      </c>
      <c r="E221" t="s">
        <v>17</v>
      </c>
      <c r="F221">
        <v>5941.98</v>
      </c>
      <c r="H221">
        <v>0</v>
      </c>
      <c r="I221">
        <v>0</v>
      </c>
      <c r="K221">
        <v>3565.87</v>
      </c>
      <c r="L221">
        <v>0</v>
      </c>
      <c r="N221">
        <v>2376.11</v>
      </c>
      <c r="P221" t="s">
        <v>247</v>
      </c>
    </row>
    <row r="222" spans="1:16">
      <c r="A222" t="s">
        <v>15</v>
      </c>
      <c r="B222">
        <v>245</v>
      </c>
      <c r="C222">
        <v>17</v>
      </c>
      <c r="D222" t="s">
        <v>29</v>
      </c>
      <c r="E222" t="s">
        <v>17</v>
      </c>
      <c r="F222">
        <v>13762</v>
      </c>
      <c r="H222">
        <v>0</v>
      </c>
      <c r="I222">
        <v>0</v>
      </c>
      <c r="K222">
        <v>9633.4</v>
      </c>
      <c r="L222">
        <v>0</v>
      </c>
      <c r="N222">
        <v>4128.6000000000004</v>
      </c>
      <c r="P222" t="s">
        <v>248</v>
      </c>
    </row>
    <row r="223" spans="1:16">
      <c r="A223" t="s">
        <v>15</v>
      </c>
      <c r="B223">
        <v>245</v>
      </c>
      <c r="C223">
        <v>18</v>
      </c>
      <c r="D223" t="s">
        <v>31</v>
      </c>
      <c r="E223" t="s">
        <v>17</v>
      </c>
      <c r="F223">
        <v>84000</v>
      </c>
      <c r="H223">
        <v>0</v>
      </c>
      <c r="I223">
        <v>0</v>
      </c>
      <c r="K223">
        <v>42000</v>
      </c>
      <c r="L223">
        <v>0</v>
      </c>
      <c r="N223">
        <v>42000</v>
      </c>
      <c r="P223" t="s">
        <v>249</v>
      </c>
    </row>
    <row r="224" spans="1:16">
      <c r="A224" t="s">
        <v>15</v>
      </c>
      <c r="B224">
        <v>245</v>
      </c>
      <c r="C224">
        <v>102</v>
      </c>
      <c r="D224" t="s">
        <v>33</v>
      </c>
      <c r="E224" t="s">
        <v>17</v>
      </c>
      <c r="F224">
        <v>12544.8</v>
      </c>
      <c r="H224">
        <v>0</v>
      </c>
      <c r="I224">
        <v>0</v>
      </c>
      <c r="K224">
        <v>8007.66</v>
      </c>
      <c r="L224">
        <v>0</v>
      </c>
      <c r="N224">
        <v>4537.1400000000003</v>
      </c>
    </row>
    <row r="225" spans="1:16">
      <c r="A225" t="s">
        <v>15</v>
      </c>
      <c r="B225">
        <v>245</v>
      </c>
      <c r="C225">
        <v>104</v>
      </c>
      <c r="D225" t="s">
        <v>34</v>
      </c>
      <c r="E225" t="s">
        <v>17</v>
      </c>
      <c r="F225">
        <v>131.30000000000001</v>
      </c>
      <c r="H225">
        <v>0</v>
      </c>
      <c r="I225">
        <v>0</v>
      </c>
      <c r="K225">
        <v>91.91</v>
      </c>
      <c r="L225">
        <v>0</v>
      </c>
      <c r="N225">
        <v>39.39</v>
      </c>
      <c r="P225" t="s">
        <v>250</v>
      </c>
    </row>
    <row r="226" spans="1:16">
      <c r="A226" t="s">
        <v>15</v>
      </c>
      <c r="B226">
        <v>245</v>
      </c>
      <c r="C226">
        <v>123</v>
      </c>
      <c r="D226" t="s">
        <v>187</v>
      </c>
      <c r="E226" t="s">
        <v>17</v>
      </c>
      <c r="F226">
        <v>250000</v>
      </c>
      <c r="H226">
        <v>0</v>
      </c>
      <c r="I226">
        <v>0</v>
      </c>
      <c r="K226">
        <v>142450.78</v>
      </c>
      <c r="L226">
        <v>0</v>
      </c>
      <c r="N226">
        <v>107549.22</v>
      </c>
      <c r="P226" t="s">
        <v>251</v>
      </c>
    </row>
    <row r="227" spans="1:16">
      <c r="A227" t="s">
        <v>15</v>
      </c>
      <c r="B227">
        <v>245</v>
      </c>
      <c r="C227">
        <v>135</v>
      </c>
      <c r="D227" t="s">
        <v>189</v>
      </c>
      <c r="E227" t="s">
        <v>17</v>
      </c>
      <c r="F227">
        <v>70000</v>
      </c>
      <c r="H227">
        <v>0</v>
      </c>
      <c r="I227">
        <v>0</v>
      </c>
      <c r="K227">
        <v>34960.160000000003</v>
      </c>
      <c r="L227">
        <v>0</v>
      </c>
      <c r="N227">
        <v>35039.839999999997</v>
      </c>
      <c r="P227" t="s">
        <v>252</v>
      </c>
    </row>
    <row r="228" spans="1:16">
      <c r="A228" t="s">
        <v>15</v>
      </c>
      <c r="B228">
        <v>245</v>
      </c>
      <c r="C228">
        <v>175</v>
      </c>
      <c r="D228" t="s">
        <v>195</v>
      </c>
      <c r="E228" t="s">
        <v>17</v>
      </c>
      <c r="F228">
        <v>10000</v>
      </c>
      <c r="H228">
        <v>0</v>
      </c>
      <c r="I228">
        <v>0</v>
      </c>
      <c r="K228">
        <v>6081.28</v>
      </c>
      <c r="L228">
        <v>0</v>
      </c>
      <c r="N228">
        <v>3918.72</v>
      </c>
      <c r="P228" t="s">
        <v>253</v>
      </c>
    </row>
    <row r="229" spans="1:16">
      <c r="A229" t="s">
        <v>15</v>
      </c>
      <c r="B229">
        <v>245</v>
      </c>
      <c r="C229">
        <v>179</v>
      </c>
      <c r="D229" t="s">
        <v>254</v>
      </c>
      <c r="E229" t="s">
        <v>17</v>
      </c>
      <c r="F229">
        <v>0</v>
      </c>
      <c r="H229">
        <v>0</v>
      </c>
      <c r="I229">
        <v>0</v>
      </c>
      <c r="K229">
        <v>4130.8</v>
      </c>
      <c r="L229">
        <v>0</v>
      </c>
      <c r="N229">
        <v>-4130.8</v>
      </c>
    </row>
    <row r="230" spans="1:16">
      <c r="A230" t="s">
        <v>15</v>
      </c>
      <c r="B230">
        <v>245</v>
      </c>
      <c r="C230">
        <v>193</v>
      </c>
      <c r="D230" t="s">
        <v>255</v>
      </c>
      <c r="E230" t="s">
        <v>17</v>
      </c>
      <c r="F230">
        <v>105597.63</v>
      </c>
      <c r="H230">
        <v>0</v>
      </c>
      <c r="I230">
        <v>0</v>
      </c>
      <c r="K230">
        <v>50000</v>
      </c>
      <c r="L230">
        <v>0</v>
      </c>
      <c r="N230">
        <v>55597.63</v>
      </c>
    </row>
    <row r="231" spans="1:16">
      <c r="A231" t="s">
        <v>15</v>
      </c>
      <c r="B231">
        <v>245</v>
      </c>
      <c r="C231">
        <v>195</v>
      </c>
      <c r="D231" t="s">
        <v>38</v>
      </c>
      <c r="E231" t="s">
        <v>17</v>
      </c>
      <c r="F231">
        <v>60000</v>
      </c>
      <c r="H231">
        <v>0</v>
      </c>
      <c r="I231">
        <v>0</v>
      </c>
      <c r="K231">
        <v>54837.77</v>
      </c>
      <c r="L231">
        <v>0</v>
      </c>
      <c r="N231">
        <v>5162.2299999999996</v>
      </c>
      <c r="P231" t="s">
        <v>256</v>
      </c>
    </row>
    <row r="232" spans="1:16">
      <c r="A232" t="s">
        <v>15</v>
      </c>
      <c r="B232">
        <v>245</v>
      </c>
      <c r="C232">
        <v>204</v>
      </c>
      <c r="D232" t="s">
        <v>42</v>
      </c>
      <c r="E232" t="s">
        <v>17</v>
      </c>
      <c r="F232">
        <v>30000</v>
      </c>
      <c r="H232">
        <v>0</v>
      </c>
      <c r="I232">
        <v>0</v>
      </c>
      <c r="K232">
        <v>18711.5</v>
      </c>
      <c r="L232">
        <v>0</v>
      </c>
      <c r="N232">
        <v>11288.5</v>
      </c>
      <c r="P232" t="s">
        <v>257</v>
      </c>
    </row>
    <row r="233" spans="1:16">
      <c r="A233" t="s">
        <v>15</v>
      </c>
      <c r="B233">
        <v>245</v>
      </c>
      <c r="C233">
        <v>208</v>
      </c>
      <c r="D233" t="s">
        <v>207</v>
      </c>
      <c r="E233" t="s">
        <v>17</v>
      </c>
      <c r="F233">
        <v>600</v>
      </c>
      <c r="H233">
        <v>0</v>
      </c>
      <c r="I233">
        <v>0</v>
      </c>
      <c r="K233">
        <v>386</v>
      </c>
      <c r="L233">
        <v>0</v>
      </c>
      <c r="N233">
        <v>214</v>
      </c>
      <c r="P233" t="s">
        <v>258</v>
      </c>
    </row>
    <row r="234" spans="1:16">
      <c r="A234" t="s">
        <v>15</v>
      </c>
      <c r="B234">
        <v>245</v>
      </c>
      <c r="C234">
        <v>210</v>
      </c>
      <c r="D234" t="s">
        <v>44</v>
      </c>
      <c r="E234" t="s">
        <v>17</v>
      </c>
      <c r="F234">
        <v>299904.56</v>
      </c>
      <c r="H234">
        <v>0</v>
      </c>
      <c r="I234">
        <v>0</v>
      </c>
      <c r="K234">
        <v>0</v>
      </c>
      <c r="L234">
        <v>0</v>
      </c>
      <c r="N234">
        <v>299904.56</v>
      </c>
    </row>
    <row r="235" spans="1:16">
      <c r="A235" t="s">
        <v>15</v>
      </c>
      <c r="B235">
        <v>245</v>
      </c>
      <c r="C235">
        <v>225</v>
      </c>
      <c r="D235" t="s">
        <v>259</v>
      </c>
      <c r="E235" t="s">
        <v>17</v>
      </c>
      <c r="F235">
        <v>600</v>
      </c>
      <c r="H235">
        <v>0</v>
      </c>
      <c r="I235">
        <v>0</v>
      </c>
      <c r="K235">
        <v>480</v>
      </c>
      <c r="L235">
        <v>0</v>
      </c>
      <c r="N235">
        <v>120</v>
      </c>
      <c r="P235" t="s">
        <v>260</v>
      </c>
    </row>
    <row r="236" spans="1:16">
      <c r="A236" t="s">
        <v>15</v>
      </c>
      <c r="B236">
        <v>245</v>
      </c>
      <c r="C236">
        <v>278</v>
      </c>
      <c r="D236" t="s">
        <v>218</v>
      </c>
      <c r="E236" t="s">
        <v>17</v>
      </c>
      <c r="F236">
        <v>0</v>
      </c>
      <c r="H236">
        <v>0</v>
      </c>
      <c r="I236">
        <v>0</v>
      </c>
      <c r="K236">
        <v>1571.14</v>
      </c>
      <c r="L236">
        <v>0</v>
      </c>
      <c r="N236">
        <v>-1571.14</v>
      </c>
      <c r="P236" t="s">
        <v>261</v>
      </c>
    </row>
    <row r="237" spans="1:16">
      <c r="A237" t="s">
        <v>15</v>
      </c>
      <c r="B237">
        <v>245</v>
      </c>
      <c r="C237">
        <v>8855</v>
      </c>
      <c r="D237" t="s">
        <v>232</v>
      </c>
      <c r="E237" t="s">
        <v>46</v>
      </c>
      <c r="F237">
        <v>0</v>
      </c>
      <c r="H237">
        <v>0</v>
      </c>
      <c r="I237">
        <v>0</v>
      </c>
      <c r="K237">
        <v>0</v>
      </c>
      <c r="L237">
        <v>-6192.52</v>
      </c>
      <c r="N237">
        <v>6192.52</v>
      </c>
      <c r="P237" t="s">
        <v>262</v>
      </c>
    </row>
    <row r="238" spans="1:16">
      <c r="A238" t="s">
        <v>15</v>
      </c>
      <c r="B238">
        <v>245</v>
      </c>
      <c r="C238">
        <v>8875</v>
      </c>
      <c r="D238" t="s">
        <v>121</v>
      </c>
      <c r="E238" t="s">
        <v>46</v>
      </c>
      <c r="F238">
        <v>-1648811.84</v>
      </c>
      <c r="H238">
        <v>0</v>
      </c>
      <c r="I238">
        <v>0</v>
      </c>
      <c r="K238">
        <v>0</v>
      </c>
      <c r="L238">
        <v>0</v>
      </c>
      <c r="N238">
        <v>-1648811.84</v>
      </c>
    </row>
    <row r="239" spans="1:16">
      <c r="C239" t="s">
        <v>263</v>
      </c>
      <c r="D239" t="s">
        <v>264</v>
      </c>
      <c r="F239" t="s">
        <v>52</v>
      </c>
      <c r="G239">
        <v>538812.07999999996</v>
      </c>
      <c r="I239">
        <v>0</v>
      </c>
      <c r="J239">
        <v>0</v>
      </c>
      <c r="L239">
        <v>1165409.77</v>
      </c>
      <c r="M239">
        <v>-6192.52</v>
      </c>
      <c r="O239">
        <v>-620405.17000000004</v>
      </c>
    </row>
    <row r="240" spans="1:16">
      <c r="H240" t="s">
        <v>53</v>
      </c>
      <c r="I240">
        <v>0</v>
      </c>
      <c r="K240" t="s">
        <v>54</v>
      </c>
      <c r="L240">
        <v>1159217.25</v>
      </c>
    </row>
    <row r="242" spans="1:16">
      <c r="A242" t="s">
        <v>15</v>
      </c>
      <c r="B242">
        <v>262</v>
      </c>
      <c r="C242">
        <v>1</v>
      </c>
      <c r="D242" t="s">
        <v>16</v>
      </c>
      <c r="E242" t="s">
        <v>17</v>
      </c>
      <c r="F242">
        <v>4674684.1399999997</v>
      </c>
      <c r="H242">
        <v>0</v>
      </c>
      <c r="I242">
        <v>0</v>
      </c>
      <c r="K242">
        <v>3369539.53</v>
      </c>
      <c r="L242">
        <v>0</v>
      </c>
      <c r="N242">
        <v>1305144.6100000001</v>
      </c>
      <c r="P242" t="s">
        <v>265</v>
      </c>
    </row>
    <row r="243" spans="1:16">
      <c r="A243" t="s">
        <v>15</v>
      </c>
      <c r="B243">
        <v>262</v>
      </c>
      <c r="C243">
        <v>3</v>
      </c>
      <c r="D243" t="s">
        <v>56</v>
      </c>
      <c r="E243" t="s">
        <v>17</v>
      </c>
      <c r="F243">
        <v>4800</v>
      </c>
      <c r="H243">
        <v>0</v>
      </c>
      <c r="I243">
        <v>0</v>
      </c>
      <c r="K243">
        <v>3360</v>
      </c>
      <c r="L243">
        <v>0</v>
      </c>
      <c r="N243">
        <v>1440</v>
      </c>
      <c r="P243" t="s">
        <v>266</v>
      </c>
    </row>
    <row r="244" spans="1:16">
      <c r="A244" t="s">
        <v>15</v>
      </c>
      <c r="B244">
        <v>262</v>
      </c>
      <c r="C244">
        <v>4</v>
      </c>
      <c r="D244" t="s">
        <v>58</v>
      </c>
      <c r="E244" t="s">
        <v>17</v>
      </c>
      <c r="F244">
        <v>4893.74</v>
      </c>
      <c r="H244">
        <v>0</v>
      </c>
      <c r="I244">
        <v>0</v>
      </c>
      <c r="K244">
        <v>3502.37</v>
      </c>
      <c r="L244">
        <v>0</v>
      </c>
      <c r="N244">
        <v>1391.37</v>
      </c>
      <c r="P244" t="s">
        <v>267</v>
      </c>
    </row>
    <row r="245" spans="1:16">
      <c r="A245" t="s">
        <v>15</v>
      </c>
      <c r="B245">
        <v>262</v>
      </c>
      <c r="C245">
        <v>6</v>
      </c>
      <c r="D245" t="s">
        <v>19</v>
      </c>
      <c r="E245" t="s">
        <v>17</v>
      </c>
      <c r="F245">
        <v>130230</v>
      </c>
      <c r="H245">
        <v>0</v>
      </c>
      <c r="I245">
        <v>0</v>
      </c>
      <c r="K245">
        <v>95129.4</v>
      </c>
      <c r="L245">
        <v>0</v>
      </c>
      <c r="N245">
        <v>35100.6</v>
      </c>
      <c r="P245" t="s">
        <v>268</v>
      </c>
    </row>
    <row r="246" spans="1:16">
      <c r="A246" t="s">
        <v>15</v>
      </c>
      <c r="B246">
        <v>262</v>
      </c>
      <c r="C246">
        <v>7</v>
      </c>
      <c r="D246" t="s">
        <v>269</v>
      </c>
      <c r="E246" t="s">
        <v>17</v>
      </c>
      <c r="F246">
        <v>58147.16</v>
      </c>
      <c r="H246">
        <v>0</v>
      </c>
      <c r="I246">
        <v>0</v>
      </c>
      <c r="K246">
        <v>0</v>
      </c>
      <c r="L246">
        <v>0</v>
      </c>
      <c r="N246">
        <v>58147.16</v>
      </c>
      <c r="P246" t="s">
        <v>270</v>
      </c>
    </row>
    <row r="247" spans="1:16">
      <c r="A247" t="s">
        <v>15</v>
      </c>
      <c r="B247">
        <v>262</v>
      </c>
      <c r="C247">
        <v>8</v>
      </c>
      <c r="D247" t="s">
        <v>173</v>
      </c>
      <c r="E247" t="s">
        <v>17</v>
      </c>
      <c r="F247">
        <v>438755.99</v>
      </c>
      <c r="H247">
        <v>0</v>
      </c>
      <c r="I247">
        <v>0</v>
      </c>
      <c r="K247">
        <v>337745.98</v>
      </c>
      <c r="L247">
        <v>0</v>
      </c>
      <c r="N247">
        <v>101010.01</v>
      </c>
      <c r="P247" t="s">
        <v>271</v>
      </c>
    </row>
    <row r="248" spans="1:16">
      <c r="A248" t="s">
        <v>15</v>
      </c>
      <c r="B248">
        <v>262</v>
      </c>
      <c r="C248">
        <v>10</v>
      </c>
      <c r="D248" t="s">
        <v>22</v>
      </c>
      <c r="E248" t="s">
        <v>17</v>
      </c>
      <c r="F248">
        <v>826759.46</v>
      </c>
      <c r="H248">
        <v>0</v>
      </c>
      <c r="I248">
        <v>0</v>
      </c>
      <c r="K248">
        <v>585348.02</v>
      </c>
      <c r="L248">
        <v>0</v>
      </c>
      <c r="N248">
        <v>241411.44</v>
      </c>
      <c r="P248" t="s">
        <v>272</v>
      </c>
    </row>
    <row r="249" spans="1:16">
      <c r="A249" t="s">
        <v>15</v>
      </c>
      <c r="B249">
        <v>262</v>
      </c>
      <c r="C249">
        <v>13</v>
      </c>
      <c r="D249" t="s">
        <v>273</v>
      </c>
      <c r="E249" t="s">
        <v>17</v>
      </c>
      <c r="F249">
        <v>0</v>
      </c>
      <c r="H249">
        <v>0</v>
      </c>
      <c r="I249">
        <v>0</v>
      </c>
      <c r="K249">
        <v>2527.91</v>
      </c>
      <c r="L249">
        <v>0</v>
      </c>
      <c r="N249">
        <v>-2527.91</v>
      </c>
      <c r="P249" t="s">
        <v>274</v>
      </c>
    </row>
    <row r="250" spans="1:16">
      <c r="A250" t="s">
        <v>15</v>
      </c>
      <c r="B250">
        <v>262</v>
      </c>
      <c r="C250">
        <v>14</v>
      </c>
      <c r="D250" t="s">
        <v>25</v>
      </c>
      <c r="E250" t="s">
        <v>17</v>
      </c>
      <c r="F250">
        <v>84980</v>
      </c>
      <c r="H250">
        <v>0</v>
      </c>
      <c r="I250">
        <v>0</v>
      </c>
      <c r="K250">
        <v>64369</v>
      </c>
      <c r="L250">
        <v>0</v>
      </c>
      <c r="N250">
        <v>20611</v>
      </c>
      <c r="P250" t="s">
        <v>275</v>
      </c>
    </row>
    <row r="251" spans="1:16">
      <c r="A251" t="s">
        <v>15</v>
      </c>
      <c r="B251">
        <v>262</v>
      </c>
      <c r="C251">
        <v>16</v>
      </c>
      <c r="D251" t="s">
        <v>27</v>
      </c>
      <c r="E251" t="s">
        <v>17</v>
      </c>
      <c r="F251">
        <v>51885.52</v>
      </c>
      <c r="H251">
        <v>0</v>
      </c>
      <c r="I251">
        <v>0</v>
      </c>
      <c r="K251">
        <v>38389.5</v>
      </c>
      <c r="L251">
        <v>0</v>
      </c>
      <c r="N251">
        <v>13496.02</v>
      </c>
      <c r="P251" t="s">
        <v>276</v>
      </c>
    </row>
    <row r="252" spans="1:16">
      <c r="A252" t="s">
        <v>15</v>
      </c>
      <c r="B252">
        <v>262</v>
      </c>
      <c r="C252">
        <v>17</v>
      </c>
      <c r="D252" t="s">
        <v>29</v>
      </c>
      <c r="E252" t="s">
        <v>17</v>
      </c>
      <c r="F252">
        <v>18810</v>
      </c>
      <c r="H252">
        <v>0</v>
      </c>
      <c r="I252">
        <v>0</v>
      </c>
      <c r="K252">
        <v>13167</v>
      </c>
      <c r="L252">
        <v>0</v>
      </c>
      <c r="N252">
        <v>5643</v>
      </c>
      <c r="P252" t="s">
        <v>277</v>
      </c>
    </row>
    <row r="253" spans="1:16">
      <c r="A253" t="s">
        <v>15</v>
      </c>
      <c r="B253">
        <v>262</v>
      </c>
      <c r="C253">
        <v>18</v>
      </c>
      <c r="D253" t="s">
        <v>31</v>
      </c>
      <c r="E253" t="s">
        <v>17</v>
      </c>
      <c r="F253">
        <v>346796.84</v>
      </c>
      <c r="H253">
        <v>0</v>
      </c>
      <c r="I253">
        <v>0</v>
      </c>
      <c r="K253">
        <v>243017.77</v>
      </c>
      <c r="L253">
        <v>0</v>
      </c>
      <c r="N253">
        <v>103779.07</v>
      </c>
      <c r="P253" t="s">
        <v>278</v>
      </c>
    </row>
    <row r="254" spans="1:16">
      <c r="A254" t="s">
        <v>15</v>
      </c>
      <c r="B254">
        <v>262</v>
      </c>
      <c r="C254">
        <v>102</v>
      </c>
      <c r="D254" t="s">
        <v>66</v>
      </c>
      <c r="E254" t="s">
        <v>17</v>
      </c>
      <c r="F254">
        <v>52986.1</v>
      </c>
      <c r="H254">
        <v>0</v>
      </c>
      <c r="I254">
        <v>0</v>
      </c>
      <c r="K254">
        <v>39057.440000000002</v>
      </c>
      <c r="L254">
        <v>0</v>
      </c>
      <c r="N254">
        <v>13928.66</v>
      </c>
      <c r="P254" t="s">
        <v>279</v>
      </c>
    </row>
    <row r="255" spans="1:16">
      <c r="A255" t="s">
        <v>15</v>
      </c>
      <c r="B255">
        <v>262</v>
      </c>
      <c r="C255">
        <v>104</v>
      </c>
      <c r="D255" t="s">
        <v>34</v>
      </c>
      <c r="E255" t="s">
        <v>17</v>
      </c>
      <c r="F255">
        <v>4013.76</v>
      </c>
      <c r="H255">
        <v>0</v>
      </c>
      <c r="I255">
        <v>0</v>
      </c>
      <c r="K255">
        <v>2834.04</v>
      </c>
      <c r="L255">
        <v>0</v>
      </c>
      <c r="N255">
        <v>1179.72</v>
      </c>
      <c r="P255" t="s">
        <v>280</v>
      </c>
    </row>
    <row r="256" spans="1:16">
      <c r="A256" t="s">
        <v>15</v>
      </c>
      <c r="B256">
        <v>262</v>
      </c>
      <c r="C256">
        <v>123</v>
      </c>
      <c r="D256" t="s">
        <v>187</v>
      </c>
      <c r="E256" t="s">
        <v>17</v>
      </c>
      <c r="F256">
        <v>250000</v>
      </c>
      <c r="H256">
        <v>0</v>
      </c>
      <c r="I256">
        <v>0</v>
      </c>
      <c r="K256">
        <v>233003.96</v>
      </c>
      <c r="L256">
        <v>0</v>
      </c>
      <c r="N256">
        <v>16996.04</v>
      </c>
      <c r="P256" t="s">
        <v>281</v>
      </c>
    </row>
    <row r="257" spans="1:16">
      <c r="A257" t="s">
        <v>15</v>
      </c>
      <c r="B257">
        <v>262</v>
      </c>
      <c r="C257">
        <v>175</v>
      </c>
      <c r="D257" t="s">
        <v>195</v>
      </c>
      <c r="E257" t="s">
        <v>17</v>
      </c>
      <c r="F257">
        <v>1500</v>
      </c>
      <c r="H257">
        <v>0</v>
      </c>
      <c r="I257">
        <v>0</v>
      </c>
      <c r="K257">
        <v>6328.41</v>
      </c>
      <c r="L257">
        <v>0</v>
      </c>
      <c r="N257">
        <v>-4828.41</v>
      </c>
      <c r="P257" t="s">
        <v>282</v>
      </c>
    </row>
    <row r="258" spans="1:16">
      <c r="A258" t="s">
        <v>15</v>
      </c>
      <c r="B258">
        <v>262</v>
      </c>
      <c r="C258">
        <v>195</v>
      </c>
      <c r="D258" t="s">
        <v>38</v>
      </c>
      <c r="E258" t="s">
        <v>17</v>
      </c>
      <c r="F258">
        <v>6000</v>
      </c>
      <c r="H258">
        <v>0</v>
      </c>
      <c r="I258">
        <v>0</v>
      </c>
      <c r="K258">
        <v>3586.63</v>
      </c>
      <c r="L258">
        <v>0</v>
      </c>
      <c r="N258">
        <v>2413.37</v>
      </c>
      <c r="P258" t="s">
        <v>283</v>
      </c>
    </row>
    <row r="259" spans="1:16">
      <c r="A259" t="s">
        <v>15</v>
      </c>
      <c r="B259">
        <v>262</v>
      </c>
      <c r="C259">
        <v>210</v>
      </c>
      <c r="D259" t="s">
        <v>44</v>
      </c>
      <c r="E259" t="s">
        <v>17</v>
      </c>
      <c r="F259">
        <v>41451.43</v>
      </c>
      <c r="H259">
        <v>0</v>
      </c>
      <c r="I259">
        <v>0</v>
      </c>
      <c r="K259">
        <v>0</v>
      </c>
      <c r="L259">
        <v>0</v>
      </c>
      <c r="N259">
        <v>41451.43</v>
      </c>
    </row>
    <row r="260" spans="1:16">
      <c r="A260" t="s">
        <v>15</v>
      </c>
      <c r="B260">
        <v>262</v>
      </c>
      <c r="C260">
        <v>213</v>
      </c>
      <c r="D260" t="s">
        <v>284</v>
      </c>
      <c r="E260" t="s">
        <v>17</v>
      </c>
      <c r="F260">
        <v>60000</v>
      </c>
      <c r="H260">
        <v>0</v>
      </c>
      <c r="I260">
        <v>0</v>
      </c>
      <c r="K260">
        <v>0</v>
      </c>
      <c r="L260">
        <v>0</v>
      </c>
      <c r="N260">
        <v>60000</v>
      </c>
    </row>
    <row r="261" spans="1:16">
      <c r="A261" t="s">
        <v>15</v>
      </c>
      <c r="B261">
        <v>262</v>
      </c>
      <c r="C261">
        <v>254</v>
      </c>
      <c r="D261" t="s">
        <v>285</v>
      </c>
      <c r="E261" t="s">
        <v>17</v>
      </c>
      <c r="F261">
        <v>8000</v>
      </c>
      <c r="H261">
        <v>0</v>
      </c>
      <c r="I261">
        <v>0</v>
      </c>
      <c r="K261">
        <v>15898.89</v>
      </c>
      <c r="L261">
        <v>0</v>
      </c>
      <c r="N261">
        <v>-7898.89</v>
      </c>
      <c r="P261" t="s">
        <v>286</v>
      </c>
    </row>
    <row r="262" spans="1:16">
      <c r="A262" t="s">
        <v>15</v>
      </c>
      <c r="B262">
        <v>262</v>
      </c>
      <c r="C262">
        <v>264</v>
      </c>
      <c r="D262" t="s">
        <v>214</v>
      </c>
      <c r="E262" t="s">
        <v>17</v>
      </c>
      <c r="F262">
        <v>50000</v>
      </c>
      <c r="H262">
        <v>0</v>
      </c>
      <c r="I262">
        <v>0</v>
      </c>
      <c r="K262">
        <v>1597.15</v>
      </c>
      <c r="L262">
        <v>0</v>
      </c>
      <c r="N262">
        <v>48402.85</v>
      </c>
      <c r="P262" t="s">
        <v>287</v>
      </c>
    </row>
    <row r="263" spans="1:16">
      <c r="A263" t="s">
        <v>15</v>
      </c>
      <c r="B263">
        <v>262</v>
      </c>
      <c r="C263">
        <v>278</v>
      </c>
      <c r="D263" t="s">
        <v>218</v>
      </c>
      <c r="E263" t="s">
        <v>17</v>
      </c>
      <c r="F263">
        <v>35000</v>
      </c>
      <c r="H263">
        <v>0</v>
      </c>
      <c r="I263">
        <v>0</v>
      </c>
      <c r="K263">
        <v>20031.259999999998</v>
      </c>
      <c r="L263">
        <v>0</v>
      </c>
      <c r="N263">
        <v>14968.74</v>
      </c>
      <c r="P263" t="s">
        <v>288</v>
      </c>
    </row>
    <row r="264" spans="1:16">
      <c r="A264" t="s">
        <v>15</v>
      </c>
      <c r="B264">
        <v>262</v>
      </c>
      <c r="C264">
        <v>284</v>
      </c>
      <c r="D264" t="s">
        <v>221</v>
      </c>
      <c r="E264" t="s">
        <v>17</v>
      </c>
      <c r="F264">
        <v>200000</v>
      </c>
      <c r="H264">
        <v>0</v>
      </c>
      <c r="I264">
        <v>0</v>
      </c>
      <c r="K264">
        <v>130811.54</v>
      </c>
      <c r="L264">
        <v>0</v>
      </c>
      <c r="N264">
        <v>69188.460000000006</v>
      </c>
      <c r="P264" t="s">
        <v>289</v>
      </c>
    </row>
    <row r="265" spans="1:16">
      <c r="A265" t="s">
        <v>15</v>
      </c>
      <c r="B265">
        <v>262</v>
      </c>
      <c r="C265">
        <v>299</v>
      </c>
      <c r="D265" t="s">
        <v>290</v>
      </c>
      <c r="E265" t="s">
        <v>17</v>
      </c>
      <c r="F265">
        <v>153000</v>
      </c>
      <c r="H265">
        <v>0</v>
      </c>
      <c r="I265">
        <v>0</v>
      </c>
      <c r="K265">
        <v>47110</v>
      </c>
      <c r="L265">
        <v>0</v>
      </c>
      <c r="N265">
        <v>105890</v>
      </c>
      <c r="P265" t="s">
        <v>291</v>
      </c>
    </row>
    <row r="266" spans="1:16">
      <c r="A266" t="s">
        <v>15</v>
      </c>
      <c r="B266">
        <v>262</v>
      </c>
      <c r="C266">
        <v>446</v>
      </c>
      <c r="D266" t="s">
        <v>292</v>
      </c>
      <c r="E266" t="s">
        <v>17</v>
      </c>
      <c r="F266">
        <v>2500000</v>
      </c>
      <c r="H266">
        <v>0</v>
      </c>
      <c r="I266">
        <v>0</v>
      </c>
      <c r="K266">
        <v>0</v>
      </c>
      <c r="L266">
        <v>0</v>
      </c>
      <c r="N266">
        <v>2500000</v>
      </c>
      <c r="P266" t="s">
        <v>293</v>
      </c>
    </row>
    <row r="267" spans="1:16">
      <c r="A267" t="s">
        <v>15</v>
      </c>
      <c r="B267">
        <v>262</v>
      </c>
      <c r="C267">
        <v>448</v>
      </c>
      <c r="D267" t="s">
        <v>294</v>
      </c>
      <c r="E267" t="s">
        <v>17</v>
      </c>
      <c r="F267">
        <v>2500000</v>
      </c>
      <c r="H267">
        <v>0</v>
      </c>
      <c r="I267">
        <v>0</v>
      </c>
      <c r="K267">
        <v>0</v>
      </c>
      <c r="L267">
        <v>0</v>
      </c>
      <c r="N267">
        <v>2500000</v>
      </c>
      <c r="P267" t="s">
        <v>295</v>
      </c>
    </row>
    <row r="268" spans="1:16">
      <c r="A268" t="s">
        <v>15</v>
      </c>
      <c r="B268">
        <v>262</v>
      </c>
      <c r="C268">
        <v>8805</v>
      </c>
      <c r="D268" t="s">
        <v>296</v>
      </c>
      <c r="E268" t="s">
        <v>46</v>
      </c>
      <c r="F268">
        <v>-60000</v>
      </c>
      <c r="H268">
        <v>0</v>
      </c>
      <c r="I268">
        <v>0</v>
      </c>
      <c r="K268">
        <v>11720.61</v>
      </c>
      <c r="L268">
        <v>0</v>
      </c>
      <c r="N268">
        <v>-71720.61</v>
      </c>
    </row>
    <row r="269" spans="1:16">
      <c r="A269" t="s">
        <v>15</v>
      </c>
      <c r="B269">
        <v>262</v>
      </c>
      <c r="C269">
        <v>8807</v>
      </c>
      <c r="D269" t="s">
        <v>297</v>
      </c>
      <c r="E269" t="s">
        <v>46</v>
      </c>
      <c r="F269">
        <v>-380000</v>
      </c>
      <c r="H269">
        <v>0</v>
      </c>
      <c r="I269">
        <v>0</v>
      </c>
      <c r="K269">
        <v>0</v>
      </c>
      <c r="L269">
        <v>0</v>
      </c>
      <c r="N269">
        <v>-380000</v>
      </c>
      <c r="P269" t="s">
        <v>298</v>
      </c>
    </row>
    <row r="270" spans="1:16">
      <c r="A270" t="s">
        <v>15</v>
      </c>
      <c r="B270">
        <v>262</v>
      </c>
      <c r="C270">
        <v>8808</v>
      </c>
      <c r="D270" t="s">
        <v>230</v>
      </c>
      <c r="E270" t="s">
        <v>46</v>
      </c>
      <c r="F270">
        <v>0</v>
      </c>
      <c r="H270">
        <v>0</v>
      </c>
      <c r="I270">
        <v>0</v>
      </c>
      <c r="K270">
        <v>0</v>
      </c>
      <c r="L270">
        <v>-438.6</v>
      </c>
      <c r="N270">
        <v>438.6</v>
      </c>
      <c r="P270" t="s">
        <v>299</v>
      </c>
    </row>
    <row r="271" spans="1:16">
      <c r="A271" t="s">
        <v>15</v>
      </c>
      <c r="B271">
        <v>262</v>
      </c>
      <c r="C271">
        <v>8809</v>
      </c>
      <c r="D271" t="s">
        <v>300</v>
      </c>
      <c r="E271" t="s">
        <v>46</v>
      </c>
      <c r="F271">
        <v>-5000000</v>
      </c>
      <c r="H271">
        <v>0</v>
      </c>
      <c r="I271">
        <v>0</v>
      </c>
      <c r="K271">
        <v>0</v>
      </c>
      <c r="L271">
        <v>0</v>
      </c>
      <c r="N271">
        <v>-5000000</v>
      </c>
    </row>
    <row r="272" spans="1:16">
      <c r="A272" t="s">
        <v>15</v>
      </c>
      <c r="B272">
        <v>262</v>
      </c>
      <c r="C272">
        <v>8860</v>
      </c>
      <c r="D272" t="s">
        <v>301</v>
      </c>
      <c r="E272" t="s">
        <v>46</v>
      </c>
      <c r="F272">
        <v>-12000</v>
      </c>
      <c r="H272">
        <v>0</v>
      </c>
      <c r="I272">
        <v>0</v>
      </c>
      <c r="K272">
        <v>0</v>
      </c>
      <c r="L272">
        <v>-3970.09</v>
      </c>
      <c r="N272">
        <v>-8029.91</v>
      </c>
      <c r="P272" t="s">
        <v>302</v>
      </c>
    </row>
    <row r="273" spans="1:16">
      <c r="A273" t="s">
        <v>15</v>
      </c>
      <c r="B273">
        <v>262</v>
      </c>
      <c r="C273">
        <v>8875</v>
      </c>
      <c r="D273" t="s">
        <v>121</v>
      </c>
      <c r="E273" t="s">
        <v>46</v>
      </c>
      <c r="F273">
        <v>-7030223.7999999998</v>
      </c>
      <c r="H273">
        <v>0</v>
      </c>
      <c r="I273">
        <v>0</v>
      </c>
      <c r="K273">
        <v>0</v>
      </c>
      <c r="L273">
        <v>0</v>
      </c>
      <c r="N273">
        <v>-7030223.7999999998</v>
      </c>
    </row>
    <row r="274" spans="1:16">
      <c r="A274" t="s">
        <v>15</v>
      </c>
      <c r="B274">
        <v>262</v>
      </c>
      <c r="C274">
        <v>8969</v>
      </c>
      <c r="D274" t="s">
        <v>303</v>
      </c>
      <c r="E274" t="s">
        <v>46</v>
      </c>
      <c r="F274">
        <v>0</v>
      </c>
      <c r="H274">
        <v>0</v>
      </c>
      <c r="I274">
        <v>0</v>
      </c>
      <c r="K274">
        <v>0</v>
      </c>
      <c r="L274">
        <v>-338968.2</v>
      </c>
      <c r="N274">
        <v>338968.2</v>
      </c>
      <c r="P274" t="s">
        <v>304</v>
      </c>
    </row>
    <row r="275" spans="1:16">
      <c r="A275" t="s">
        <v>15</v>
      </c>
      <c r="B275">
        <v>262</v>
      </c>
      <c r="C275">
        <v>8999</v>
      </c>
      <c r="D275" t="s">
        <v>305</v>
      </c>
      <c r="E275" t="s">
        <v>46</v>
      </c>
      <c r="F275">
        <v>-10000</v>
      </c>
      <c r="H275">
        <v>0</v>
      </c>
      <c r="I275">
        <v>0</v>
      </c>
      <c r="K275">
        <v>0</v>
      </c>
      <c r="L275">
        <v>-14520.82</v>
      </c>
      <c r="N275">
        <v>4520.82</v>
      </c>
      <c r="P275" t="s">
        <v>306</v>
      </c>
    </row>
    <row r="276" spans="1:16">
      <c r="C276" t="s">
        <v>307</v>
      </c>
      <c r="D276" t="s">
        <v>308</v>
      </c>
      <c r="F276" t="s">
        <v>52</v>
      </c>
      <c r="G276">
        <v>10470.34</v>
      </c>
      <c r="I276">
        <v>0</v>
      </c>
      <c r="J276">
        <v>0</v>
      </c>
      <c r="L276">
        <v>5268076.41</v>
      </c>
      <c r="M276">
        <v>-357897.71</v>
      </c>
      <c r="O276">
        <v>-4899708.3600000003</v>
      </c>
    </row>
    <row r="277" spans="1:16">
      <c r="H277" t="s">
        <v>53</v>
      </c>
      <c r="I277">
        <v>0</v>
      </c>
      <c r="K277" t="s">
        <v>54</v>
      </c>
      <c r="L277">
        <v>4910178.7</v>
      </c>
    </row>
    <row r="279" spans="1:16">
      <c r="A279" t="s">
        <v>15</v>
      </c>
      <c r="B279">
        <v>267</v>
      </c>
      <c r="C279">
        <v>1</v>
      </c>
      <c r="D279" t="s">
        <v>16</v>
      </c>
      <c r="E279" t="s">
        <v>17</v>
      </c>
      <c r="F279">
        <v>330852.09999999998</v>
      </c>
      <c r="H279">
        <v>0</v>
      </c>
      <c r="I279">
        <v>0</v>
      </c>
      <c r="K279">
        <v>240396.47</v>
      </c>
      <c r="L279">
        <v>0</v>
      </c>
      <c r="N279">
        <v>90455.63</v>
      </c>
      <c r="P279" t="s">
        <v>309</v>
      </c>
    </row>
    <row r="280" spans="1:16">
      <c r="A280" t="s">
        <v>15</v>
      </c>
      <c r="B280">
        <v>267</v>
      </c>
      <c r="C280">
        <v>8</v>
      </c>
      <c r="D280" t="s">
        <v>21</v>
      </c>
      <c r="E280" t="s">
        <v>17</v>
      </c>
      <c r="F280">
        <v>7046.6</v>
      </c>
      <c r="H280">
        <v>0</v>
      </c>
      <c r="I280">
        <v>0</v>
      </c>
      <c r="K280">
        <v>3523.3</v>
      </c>
      <c r="L280">
        <v>0</v>
      </c>
      <c r="N280">
        <v>3523.3</v>
      </c>
    </row>
    <row r="281" spans="1:16">
      <c r="A281" t="s">
        <v>15</v>
      </c>
      <c r="B281">
        <v>267</v>
      </c>
      <c r="C281">
        <v>10</v>
      </c>
      <c r="D281" t="s">
        <v>22</v>
      </c>
      <c r="E281" t="s">
        <v>17</v>
      </c>
      <c r="F281">
        <v>37186.800000000003</v>
      </c>
      <c r="H281">
        <v>0</v>
      </c>
      <c r="I281">
        <v>0</v>
      </c>
      <c r="K281">
        <v>26030.76</v>
      </c>
      <c r="L281">
        <v>0</v>
      </c>
      <c r="N281">
        <v>11156.04</v>
      </c>
      <c r="P281" t="s">
        <v>310</v>
      </c>
    </row>
    <row r="282" spans="1:16">
      <c r="A282" t="s">
        <v>15</v>
      </c>
      <c r="B282">
        <v>267</v>
      </c>
      <c r="C282">
        <v>16</v>
      </c>
      <c r="D282" t="s">
        <v>27</v>
      </c>
      <c r="E282" t="s">
        <v>17</v>
      </c>
      <c r="F282">
        <v>2951.2</v>
      </c>
      <c r="H282">
        <v>0</v>
      </c>
      <c r="I282">
        <v>0</v>
      </c>
      <c r="K282">
        <v>2184.6799999999998</v>
      </c>
      <c r="L282">
        <v>0</v>
      </c>
      <c r="N282">
        <v>766.52</v>
      </c>
      <c r="P282" t="s">
        <v>311</v>
      </c>
    </row>
    <row r="283" spans="1:16">
      <c r="A283" t="s">
        <v>15</v>
      </c>
      <c r="B283">
        <v>267</v>
      </c>
      <c r="C283">
        <v>17</v>
      </c>
      <c r="D283" t="s">
        <v>29</v>
      </c>
      <c r="E283" t="s">
        <v>17</v>
      </c>
      <c r="F283">
        <v>21263.040000000001</v>
      </c>
      <c r="H283">
        <v>0</v>
      </c>
      <c r="I283">
        <v>0</v>
      </c>
      <c r="K283">
        <v>200</v>
      </c>
      <c r="L283">
        <v>0</v>
      </c>
      <c r="N283">
        <v>21063.040000000001</v>
      </c>
      <c r="P283" t="s">
        <v>312</v>
      </c>
    </row>
    <row r="284" spans="1:16">
      <c r="A284" t="s">
        <v>15</v>
      </c>
      <c r="B284">
        <v>267</v>
      </c>
      <c r="C284">
        <v>18</v>
      </c>
      <c r="D284" t="s">
        <v>31</v>
      </c>
      <c r="E284" t="s">
        <v>17</v>
      </c>
      <c r="F284">
        <v>62970.42</v>
      </c>
      <c r="H284">
        <v>0</v>
      </c>
      <c r="I284">
        <v>0</v>
      </c>
      <c r="K284">
        <v>31485.21</v>
      </c>
      <c r="L284">
        <v>0</v>
      </c>
      <c r="N284">
        <v>31485.21</v>
      </c>
      <c r="P284" t="s">
        <v>313</v>
      </c>
    </row>
    <row r="285" spans="1:16">
      <c r="A285" t="s">
        <v>15</v>
      </c>
      <c r="B285">
        <v>267</v>
      </c>
      <c r="C285">
        <v>102</v>
      </c>
      <c r="D285" t="s">
        <v>66</v>
      </c>
      <c r="E285" t="s">
        <v>17</v>
      </c>
      <c r="F285">
        <v>3721.92</v>
      </c>
      <c r="H285">
        <v>0</v>
      </c>
      <c r="I285">
        <v>0</v>
      </c>
      <c r="K285">
        <v>2585.3000000000002</v>
      </c>
      <c r="L285">
        <v>0</v>
      </c>
      <c r="N285">
        <v>1136.6199999999999</v>
      </c>
      <c r="P285" t="s">
        <v>314</v>
      </c>
    </row>
    <row r="286" spans="1:16">
      <c r="A286" t="s">
        <v>15</v>
      </c>
      <c r="B286">
        <v>267</v>
      </c>
      <c r="C286">
        <v>104</v>
      </c>
      <c r="D286" t="s">
        <v>34</v>
      </c>
      <c r="E286" t="s">
        <v>17</v>
      </c>
      <c r="F286">
        <v>135.6</v>
      </c>
      <c r="H286">
        <v>0</v>
      </c>
      <c r="I286">
        <v>0</v>
      </c>
      <c r="K286">
        <v>94.92</v>
      </c>
      <c r="L286">
        <v>0</v>
      </c>
      <c r="N286">
        <v>40.68</v>
      </c>
      <c r="P286" t="s">
        <v>315</v>
      </c>
    </row>
    <row r="287" spans="1:16">
      <c r="A287" t="s">
        <v>15</v>
      </c>
      <c r="B287">
        <v>267</v>
      </c>
      <c r="C287">
        <v>123</v>
      </c>
      <c r="D287" t="s">
        <v>187</v>
      </c>
      <c r="E287" t="s">
        <v>17</v>
      </c>
      <c r="F287">
        <v>140544.04</v>
      </c>
      <c r="H287">
        <v>0</v>
      </c>
      <c r="I287">
        <v>0</v>
      </c>
      <c r="K287">
        <v>82208.66</v>
      </c>
      <c r="L287">
        <v>0</v>
      </c>
      <c r="N287">
        <v>58335.38</v>
      </c>
      <c r="P287" t="s">
        <v>316</v>
      </c>
    </row>
    <row r="288" spans="1:16">
      <c r="A288" t="s">
        <v>15</v>
      </c>
      <c r="B288">
        <v>267</v>
      </c>
      <c r="C288">
        <v>179</v>
      </c>
      <c r="D288" t="s">
        <v>73</v>
      </c>
      <c r="E288" t="s">
        <v>17</v>
      </c>
      <c r="F288">
        <v>70000</v>
      </c>
      <c r="H288">
        <v>0</v>
      </c>
      <c r="I288">
        <v>0</v>
      </c>
      <c r="K288">
        <v>44586.1</v>
      </c>
      <c r="L288">
        <v>0</v>
      </c>
      <c r="N288">
        <v>25413.9</v>
      </c>
      <c r="P288" t="s">
        <v>317</v>
      </c>
    </row>
    <row r="289" spans="1:16">
      <c r="A289" t="s">
        <v>15</v>
      </c>
      <c r="B289">
        <v>267</v>
      </c>
      <c r="C289">
        <v>183</v>
      </c>
      <c r="D289" t="s">
        <v>75</v>
      </c>
      <c r="E289" t="s">
        <v>17</v>
      </c>
      <c r="F289">
        <v>165000</v>
      </c>
      <c r="H289">
        <v>0</v>
      </c>
      <c r="I289">
        <v>0</v>
      </c>
      <c r="K289">
        <v>144800</v>
      </c>
      <c r="L289">
        <v>0</v>
      </c>
      <c r="N289">
        <v>20200</v>
      </c>
      <c r="P289" t="s">
        <v>318</v>
      </c>
    </row>
    <row r="290" spans="1:16">
      <c r="A290" t="s">
        <v>15</v>
      </c>
      <c r="B290">
        <v>267</v>
      </c>
      <c r="C290">
        <v>195</v>
      </c>
      <c r="D290" t="s">
        <v>38</v>
      </c>
      <c r="E290" t="s">
        <v>17</v>
      </c>
      <c r="F290">
        <v>300000</v>
      </c>
      <c r="H290">
        <v>0</v>
      </c>
      <c r="I290">
        <v>0</v>
      </c>
      <c r="K290">
        <v>227027.36</v>
      </c>
      <c r="L290">
        <v>0</v>
      </c>
      <c r="N290">
        <v>72972.639999999999</v>
      </c>
      <c r="P290" t="s">
        <v>319</v>
      </c>
    </row>
    <row r="291" spans="1:16">
      <c r="A291" t="s">
        <v>15</v>
      </c>
      <c r="B291">
        <v>267</v>
      </c>
      <c r="C291">
        <v>203</v>
      </c>
      <c r="D291" t="s">
        <v>320</v>
      </c>
      <c r="E291" t="s">
        <v>17</v>
      </c>
      <c r="F291">
        <v>450000</v>
      </c>
      <c r="H291">
        <v>0</v>
      </c>
      <c r="I291">
        <v>0</v>
      </c>
      <c r="K291">
        <v>403182.46</v>
      </c>
      <c r="L291">
        <v>0</v>
      </c>
      <c r="N291">
        <v>46817.54</v>
      </c>
    </row>
    <row r="292" spans="1:16">
      <c r="A292" t="s">
        <v>15</v>
      </c>
      <c r="B292">
        <v>267</v>
      </c>
      <c r="C292">
        <v>204</v>
      </c>
      <c r="D292" t="s">
        <v>42</v>
      </c>
      <c r="E292" t="s">
        <v>17</v>
      </c>
      <c r="F292">
        <v>11000</v>
      </c>
      <c r="H292">
        <v>0</v>
      </c>
      <c r="I292">
        <v>0</v>
      </c>
      <c r="K292">
        <v>12671.57</v>
      </c>
      <c r="L292">
        <v>0</v>
      </c>
      <c r="N292">
        <v>-1671.57</v>
      </c>
      <c r="P292" t="s">
        <v>321</v>
      </c>
    </row>
    <row r="293" spans="1:16">
      <c r="A293" t="s">
        <v>15</v>
      </c>
      <c r="B293">
        <v>267</v>
      </c>
      <c r="C293">
        <v>206</v>
      </c>
      <c r="D293" t="s">
        <v>322</v>
      </c>
      <c r="E293" t="s">
        <v>17</v>
      </c>
      <c r="F293">
        <v>45000</v>
      </c>
      <c r="H293">
        <v>0</v>
      </c>
      <c r="I293">
        <v>0</v>
      </c>
      <c r="K293">
        <v>45890</v>
      </c>
      <c r="L293">
        <v>0</v>
      </c>
      <c r="N293">
        <v>-890</v>
      </c>
      <c r="P293" t="s">
        <v>323</v>
      </c>
    </row>
    <row r="294" spans="1:16">
      <c r="A294" t="s">
        <v>15</v>
      </c>
      <c r="B294">
        <v>267</v>
      </c>
      <c r="C294">
        <v>210</v>
      </c>
      <c r="D294" t="s">
        <v>44</v>
      </c>
      <c r="E294" t="s">
        <v>17</v>
      </c>
      <c r="F294">
        <v>68411.539999999994</v>
      </c>
      <c r="H294">
        <v>0</v>
      </c>
      <c r="I294">
        <v>0</v>
      </c>
      <c r="K294">
        <v>0</v>
      </c>
      <c r="L294">
        <v>0</v>
      </c>
      <c r="N294">
        <v>68411.539999999994</v>
      </c>
    </row>
    <row r="295" spans="1:16">
      <c r="A295" t="s">
        <v>15</v>
      </c>
      <c r="B295">
        <v>267</v>
      </c>
      <c r="C295">
        <v>211</v>
      </c>
      <c r="D295" t="s">
        <v>163</v>
      </c>
      <c r="E295" t="s">
        <v>17</v>
      </c>
      <c r="F295">
        <v>400000</v>
      </c>
      <c r="H295">
        <v>0</v>
      </c>
      <c r="I295">
        <v>0</v>
      </c>
      <c r="K295">
        <v>314453.53000000003</v>
      </c>
      <c r="L295">
        <v>0</v>
      </c>
      <c r="N295">
        <v>85546.47</v>
      </c>
      <c r="P295" t="s">
        <v>324</v>
      </c>
    </row>
    <row r="296" spans="1:16">
      <c r="A296" t="s">
        <v>15</v>
      </c>
      <c r="B296">
        <v>267</v>
      </c>
      <c r="C296">
        <v>284</v>
      </c>
      <c r="D296" t="s">
        <v>221</v>
      </c>
      <c r="E296" t="s">
        <v>17</v>
      </c>
      <c r="F296">
        <v>60000</v>
      </c>
      <c r="H296">
        <v>0</v>
      </c>
      <c r="I296">
        <v>0</v>
      </c>
      <c r="K296">
        <v>49636.62</v>
      </c>
      <c r="L296">
        <v>0</v>
      </c>
      <c r="N296">
        <v>10363.379999999999</v>
      </c>
      <c r="P296" t="s">
        <v>325</v>
      </c>
    </row>
    <row r="297" spans="1:16">
      <c r="A297" t="s">
        <v>15</v>
      </c>
      <c r="B297">
        <v>267</v>
      </c>
      <c r="C297">
        <v>8875</v>
      </c>
      <c r="D297" t="s">
        <v>121</v>
      </c>
      <c r="E297" t="s">
        <v>46</v>
      </c>
      <c r="F297">
        <v>-1364000</v>
      </c>
      <c r="H297">
        <v>0</v>
      </c>
      <c r="I297">
        <v>0</v>
      </c>
      <c r="K297">
        <v>0</v>
      </c>
      <c r="L297">
        <v>0</v>
      </c>
      <c r="N297">
        <v>-1364000</v>
      </c>
    </row>
    <row r="298" spans="1:16">
      <c r="C298" t="s">
        <v>326</v>
      </c>
      <c r="D298" t="s">
        <v>327</v>
      </c>
      <c r="F298" t="s">
        <v>52</v>
      </c>
      <c r="G298">
        <v>812083.26</v>
      </c>
      <c r="I298">
        <v>0</v>
      </c>
      <c r="J298">
        <v>0</v>
      </c>
      <c r="L298">
        <v>1630956.94</v>
      </c>
      <c r="M298">
        <v>0</v>
      </c>
      <c r="O298">
        <v>-818873.68</v>
      </c>
    </row>
    <row r="299" spans="1:16">
      <c r="H299" t="s">
        <v>53</v>
      </c>
      <c r="I299">
        <v>0</v>
      </c>
      <c r="K299" t="s">
        <v>54</v>
      </c>
      <c r="L299">
        <v>1630956.94</v>
      </c>
    </row>
    <row r="301" spans="1:16">
      <c r="A301" t="s">
        <v>15</v>
      </c>
      <c r="B301">
        <v>268</v>
      </c>
      <c r="C301">
        <v>1</v>
      </c>
      <c r="D301" t="s">
        <v>16</v>
      </c>
      <c r="E301" t="s">
        <v>17</v>
      </c>
      <c r="F301">
        <v>4385936.72</v>
      </c>
      <c r="H301">
        <v>0</v>
      </c>
      <c r="I301">
        <v>0</v>
      </c>
      <c r="K301">
        <v>3057357.36</v>
      </c>
      <c r="L301">
        <v>0</v>
      </c>
      <c r="N301">
        <v>1328579.3600000001</v>
      </c>
      <c r="P301" t="s">
        <v>328</v>
      </c>
    </row>
    <row r="302" spans="1:16">
      <c r="A302" t="s">
        <v>15</v>
      </c>
      <c r="B302">
        <v>268</v>
      </c>
      <c r="C302">
        <v>4</v>
      </c>
      <c r="D302" t="s">
        <v>58</v>
      </c>
      <c r="E302" t="s">
        <v>17</v>
      </c>
      <c r="F302">
        <v>9412.94</v>
      </c>
      <c r="H302">
        <v>0</v>
      </c>
      <c r="I302">
        <v>0</v>
      </c>
      <c r="K302">
        <v>6637.99</v>
      </c>
      <c r="L302">
        <v>0</v>
      </c>
      <c r="N302">
        <v>2774.95</v>
      </c>
      <c r="P302" t="s">
        <v>329</v>
      </c>
    </row>
    <row r="303" spans="1:16">
      <c r="A303" t="s">
        <v>15</v>
      </c>
      <c r="B303">
        <v>268</v>
      </c>
      <c r="C303">
        <v>6</v>
      </c>
      <c r="D303" t="s">
        <v>19</v>
      </c>
      <c r="E303" t="s">
        <v>17</v>
      </c>
      <c r="F303">
        <v>172667.64</v>
      </c>
      <c r="H303">
        <v>0</v>
      </c>
      <c r="I303">
        <v>0</v>
      </c>
      <c r="K303">
        <v>123666.3</v>
      </c>
      <c r="L303">
        <v>0</v>
      </c>
      <c r="N303">
        <v>49001.34</v>
      </c>
      <c r="P303" t="s">
        <v>330</v>
      </c>
    </row>
    <row r="304" spans="1:16">
      <c r="A304" t="s">
        <v>15</v>
      </c>
      <c r="B304">
        <v>268</v>
      </c>
      <c r="C304">
        <v>8</v>
      </c>
      <c r="D304" t="s">
        <v>173</v>
      </c>
      <c r="E304" t="s">
        <v>17</v>
      </c>
      <c r="F304">
        <v>296869.53999999998</v>
      </c>
      <c r="H304">
        <v>0</v>
      </c>
      <c r="I304">
        <v>0</v>
      </c>
      <c r="K304">
        <v>288835.89</v>
      </c>
      <c r="L304">
        <v>0</v>
      </c>
      <c r="N304">
        <v>8033.65</v>
      </c>
      <c r="P304" t="s">
        <v>331</v>
      </c>
    </row>
    <row r="305" spans="1:16">
      <c r="A305" t="s">
        <v>15</v>
      </c>
      <c r="B305">
        <v>268</v>
      </c>
      <c r="C305">
        <v>10</v>
      </c>
      <c r="D305" t="s">
        <v>22</v>
      </c>
      <c r="E305" t="s">
        <v>17</v>
      </c>
      <c r="F305">
        <v>867855.88</v>
      </c>
      <c r="H305">
        <v>0</v>
      </c>
      <c r="I305">
        <v>0</v>
      </c>
      <c r="K305">
        <v>610094.09</v>
      </c>
      <c r="L305">
        <v>0</v>
      </c>
      <c r="N305">
        <v>257761.79</v>
      </c>
      <c r="P305" t="s">
        <v>332</v>
      </c>
    </row>
    <row r="306" spans="1:16">
      <c r="A306" t="s">
        <v>15</v>
      </c>
      <c r="B306">
        <v>268</v>
      </c>
      <c r="C306">
        <v>11</v>
      </c>
      <c r="D306" t="s">
        <v>24</v>
      </c>
      <c r="E306" t="s">
        <v>17</v>
      </c>
      <c r="F306">
        <v>5214.5</v>
      </c>
      <c r="H306">
        <v>0</v>
      </c>
      <c r="I306">
        <v>0</v>
      </c>
      <c r="K306">
        <v>0</v>
      </c>
      <c r="L306">
        <v>0</v>
      </c>
      <c r="N306">
        <v>5214.5</v>
      </c>
    </row>
    <row r="307" spans="1:16">
      <c r="A307" t="s">
        <v>15</v>
      </c>
      <c r="B307">
        <v>268</v>
      </c>
      <c r="C307">
        <v>13</v>
      </c>
      <c r="D307" t="s">
        <v>273</v>
      </c>
      <c r="E307" t="s">
        <v>17</v>
      </c>
      <c r="F307">
        <v>12401.58</v>
      </c>
      <c r="H307">
        <v>0</v>
      </c>
      <c r="I307">
        <v>0</v>
      </c>
      <c r="K307">
        <v>13872.37</v>
      </c>
      <c r="L307">
        <v>0</v>
      </c>
      <c r="N307">
        <v>-1470.79</v>
      </c>
      <c r="P307" t="s">
        <v>333</v>
      </c>
    </row>
    <row r="308" spans="1:16">
      <c r="A308" t="s">
        <v>15</v>
      </c>
      <c r="B308">
        <v>268</v>
      </c>
      <c r="C308">
        <v>16</v>
      </c>
      <c r="D308" t="s">
        <v>27</v>
      </c>
      <c r="E308" t="s">
        <v>17</v>
      </c>
      <c r="F308">
        <v>51079.6</v>
      </c>
      <c r="H308">
        <v>0</v>
      </c>
      <c r="I308">
        <v>0</v>
      </c>
      <c r="K308">
        <v>36329.129999999997</v>
      </c>
      <c r="L308">
        <v>0</v>
      </c>
      <c r="N308">
        <v>14750.47</v>
      </c>
      <c r="P308" t="s">
        <v>334</v>
      </c>
    </row>
    <row r="309" spans="1:16">
      <c r="A309" t="s">
        <v>15</v>
      </c>
      <c r="B309">
        <v>268</v>
      </c>
      <c r="C309">
        <v>18</v>
      </c>
      <c r="D309" t="s">
        <v>31</v>
      </c>
      <c r="E309" t="s">
        <v>17</v>
      </c>
      <c r="F309">
        <v>255971.82</v>
      </c>
      <c r="H309">
        <v>0</v>
      </c>
      <c r="I309">
        <v>0</v>
      </c>
      <c r="K309">
        <v>154050.23000000001</v>
      </c>
      <c r="L309">
        <v>0</v>
      </c>
      <c r="N309">
        <v>101921.59</v>
      </c>
      <c r="P309" t="s">
        <v>335</v>
      </c>
    </row>
    <row r="310" spans="1:16">
      <c r="A310" t="s">
        <v>15</v>
      </c>
      <c r="B310">
        <v>268</v>
      </c>
      <c r="C310">
        <v>102</v>
      </c>
      <c r="D310" t="s">
        <v>66</v>
      </c>
      <c r="E310" t="s">
        <v>17</v>
      </c>
      <c r="F310">
        <v>48243.199999999997</v>
      </c>
      <c r="H310">
        <v>0</v>
      </c>
      <c r="I310">
        <v>0</v>
      </c>
      <c r="K310">
        <v>34257.129999999997</v>
      </c>
      <c r="L310">
        <v>0</v>
      </c>
      <c r="N310">
        <v>13986.07</v>
      </c>
      <c r="P310" t="s">
        <v>336</v>
      </c>
    </row>
    <row r="311" spans="1:16">
      <c r="A311" t="s">
        <v>15</v>
      </c>
      <c r="B311">
        <v>268</v>
      </c>
      <c r="C311">
        <v>104</v>
      </c>
      <c r="D311" t="s">
        <v>34</v>
      </c>
      <c r="E311" t="s">
        <v>17</v>
      </c>
      <c r="F311">
        <v>4610.3999999999996</v>
      </c>
      <c r="H311">
        <v>0</v>
      </c>
      <c r="I311">
        <v>0</v>
      </c>
      <c r="K311">
        <v>3240.84</v>
      </c>
      <c r="L311">
        <v>0</v>
      </c>
      <c r="N311">
        <v>1369.56</v>
      </c>
      <c r="P311" t="s">
        <v>337</v>
      </c>
    </row>
    <row r="312" spans="1:16">
      <c r="A312" t="s">
        <v>15</v>
      </c>
      <c r="B312">
        <v>268</v>
      </c>
      <c r="C312">
        <v>117</v>
      </c>
      <c r="D312" t="s">
        <v>338</v>
      </c>
      <c r="E312" t="s">
        <v>17</v>
      </c>
      <c r="F312">
        <v>9739500</v>
      </c>
      <c r="H312">
        <v>0</v>
      </c>
      <c r="I312">
        <v>0</v>
      </c>
      <c r="K312">
        <v>14470822.92</v>
      </c>
      <c r="L312">
        <v>0</v>
      </c>
      <c r="N312">
        <v>-4731322.92</v>
      </c>
      <c r="P312" t="s">
        <v>339</v>
      </c>
    </row>
    <row r="313" spans="1:16">
      <c r="A313" t="s">
        <v>15</v>
      </c>
      <c r="B313">
        <v>268</v>
      </c>
      <c r="C313">
        <v>123</v>
      </c>
      <c r="D313" t="s">
        <v>187</v>
      </c>
      <c r="E313" t="s">
        <v>17</v>
      </c>
      <c r="F313">
        <v>710800</v>
      </c>
      <c r="H313">
        <v>0</v>
      </c>
      <c r="I313">
        <v>0</v>
      </c>
      <c r="K313">
        <v>289411.07</v>
      </c>
      <c r="L313">
        <v>0</v>
      </c>
      <c r="N313">
        <v>421388.93</v>
      </c>
      <c r="P313" t="s">
        <v>340</v>
      </c>
    </row>
    <row r="314" spans="1:16">
      <c r="A314" t="s">
        <v>15</v>
      </c>
      <c r="B314">
        <v>268</v>
      </c>
      <c r="C314">
        <v>135</v>
      </c>
      <c r="D314" t="s">
        <v>341</v>
      </c>
      <c r="E314" t="s">
        <v>17</v>
      </c>
      <c r="F314">
        <v>130000</v>
      </c>
      <c r="H314">
        <v>0</v>
      </c>
      <c r="I314">
        <v>0</v>
      </c>
      <c r="K314">
        <v>124307.98</v>
      </c>
      <c r="L314">
        <v>0</v>
      </c>
      <c r="N314">
        <v>5692.02</v>
      </c>
    </row>
    <row r="315" spans="1:16">
      <c r="A315" t="s">
        <v>15</v>
      </c>
      <c r="B315">
        <v>268</v>
      </c>
      <c r="C315">
        <v>175</v>
      </c>
      <c r="D315" t="s">
        <v>342</v>
      </c>
      <c r="E315" t="s">
        <v>17</v>
      </c>
      <c r="F315">
        <v>1000</v>
      </c>
      <c r="H315">
        <v>0</v>
      </c>
      <c r="I315">
        <v>0</v>
      </c>
      <c r="K315">
        <v>988.69</v>
      </c>
      <c r="L315">
        <v>0</v>
      </c>
      <c r="N315">
        <v>11.31</v>
      </c>
    </row>
    <row r="316" spans="1:16">
      <c r="A316" t="s">
        <v>15</v>
      </c>
      <c r="B316">
        <v>268</v>
      </c>
      <c r="C316">
        <v>195</v>
      </c>
      <c r="D316" t="s">
        <v>38</v>
      </c>
      <c r="E316" t="s">
        <v>17</v>
      </c>
      <c r="F316">
        <v>10000</v>
      </c>
      <c r="H316">
        <v>0</v>
      </c>
      <c r="I316">
        <v>0</v>
      </c>
      <c r="K316">
        <v>6067.8</v>
      </c>
      <c r="L316">
        <v>0</v>
      </c>
      <c r="N316">
        <v>3932.2</v>
      </c>
      <c r="P316" t="s">
        <v>343</v>
      </c>
    </row>
    <row r="317" spans="1:16">
      <c r="A317" t="s">
        <v>15</v>
      </c>
      <c r="B317">
        <v>268</v>
      </c>
      <c r="C317">
        <v>196</v>
      </c>
      <c r="D317" t="s">
        <v>344</v>
      </c>
      <c r="E317" t="s">
        <v>17</v>
      </c>
      <c r="F317">
        <v>504501</v>
      </c>
      <c r="H317">
        <v>0</v>
      </c>
      <c r="I317">
        <v>0</v>
      </c>
      <c r="K317">
        <v>504501</v>
      </c>
      <c r="L317">
        <v>0</v>
      </c>
    </row>
    <row r="318" spans="1:16">
      <c r="A318" t="s">
        <v>15</v>
      </c>
      <c r="B318">
        <v>268</v>
      </c>
      <c r="C318">
        <v>210</v>
      </c>
      <c r="D318" t="s">
        <v>44</v>
      </c>
      <c r="E318" t="s">
        <v>17</v>
      </c>
      <c r="F318">
        <v>1442552.24</v>
      </c>
      <c r="H318">
        <v>0</v>
      </c>
      <c r="I318">
        <v>0</v>
      </c>
      <c r="K318">
        <v>0</v>
      </c>
      <c r="L318">
        <v>0</v>
      </c>
      <c r="N318">
        <v>1442552.24</v>
      </c>
    </row>
    <row r="319" spans="1:16">
      <c r="A319" t="s">
        <v>15</v>
      </c>
      <c r="B319">
        <v>268</v>
      </c>
      <c r="C319">
        <v>249</v>
      </c>
      <c r="D319" t="s">
        <v>345</v>
      </c>
      <c r="E319" t="s">
        <v>17</v>
      </c>
      <c r="F319">
        <v>288393</v>
      </c>
      <c r="H319">
        <v>0</v>
      </c>
      <c r="I319">
        <v>0</v>
      </c>
      <c r="K319">
        <v>0</v>
      </c>
      <c r="L319">
        <v>0</v>
      </c>
      <c r="N319">
        <v>288393</v>
      </c>
      <c r="P319" t="s">
        <v>346</v>
      </c>
    </row>
    <row r="320" spans="1:16">
      <c r="A320" t="s">
        <v>15</v>
      </c>
      <c r="B320">
        <v>268</v>
      </c>
      <c r="C320">
        <v>251</v>
      </c>
      <c r="D320" t="s">
        <v>347</v>
      </c>
      <c r="E320" t="s">
        <v>17</v>
      </c>
      <c r="F320">
        <v>140000</v>
      </c>
      <c r="H320">
        <v>0</v>
      </c>
      <c r="I320">
        <v>0</v>
      </c>
      <c r="K320">
        <v>65359.43</v>
      </c>
      <c r="L320">
        <v>0</v>
      </c>
      <c r="N320">
        <v>74640.570000000007</v>
      </c>
      <c r="P320" t="s">
        <v>348</v>
      </c>
    </row>
    <row r="321" spans="1:16">
      <c r="A321" t="s">
        <v>15</v>
      </c>
      <c r="B321">
        <v>268</v>
      </c>
      <c r="C321">
        <v>254</v>
      </c>
      <c r="D321" t="s">
        <v>349</v>
      </c>
      <c r="E321" t="s">
        <v>17</v>
      </c>
      <c r="F321">
        <v>500000</v>
      </c>
      <c r="H321">
        <v>0</v>
      </c>
      <c r="I321">
        <v>0</v>
      </c>
      <c r="K321">
        <v>43200</v>
      </c>
      <c r="L321">
        <v>0</v>
      </c>
      <c r="N321">
        <v>456800</v>
      </c>
    </row>
    <row r="322" spans="1:16">
      <c r="A322" t="s">
        <v>15</v>
      </c>
      <c r="B322">
        <v>268</v>
      </c>
      <c r="C322">
        <v>256</v>
      </c>
      <c r="D322" t="s">
        <v>350</v>
      </c>
      <c r="E322" t="s">
        <v>17</v>
      </c>
      <c r="F322">
        <v>8580600</v>
      </c>
      <c r="H322">
        <v>0</v>
      </c>
      <c r="I322">
        <v>0</v>
      </c>
      <c r="K322">
        <v>4887629.16</v>
      </c>
      <c r="L322">
        <v>0</v>
      </c>
      <c r="N322">
        <v>3692970.84</v>
      </c>
      <c r="P322" t="s">
        <v>351</v>
      </c>
    </row>
    <row r="323" spans="1:16">
      <c r="A323" t="s">
        <v>15</v>
      </c>
      <c r="B323">
        <v>268</v>
      </c>
      <c r="C323">
        <v>262</v>
      </c>
      <c r="D323" t="s">
        <v>212</v>
      </c>
      <c r="E323" t="s">
        <v>17</v>
      </c>
      <c r="F323">
        <v>35000</v>
      </c>
      <c r="H323">
        <v>0</v>
      </c>
      <c r="I323">
        <v>0</v>
      </c>
      <c r="K323">
        <v>19000</v>
      </c>
      <c r="L323">
        <v>0</v>
      </c>
      <c r="N323">
        <v>16000</v>
      </c>
      <c r="P323" t="s">
        <v>352</v>
      </c>
    </row>
    <row r="324" spans="1:16">
      <c r="A324" t="s">
        <v>15</v>
      </c>
      <c r="B324">
        <v>268</v>
      </c>
      <c r="C324">
        <v>278</v>
      </c>
      <c r="D324" t="s">
        <v>218</v>
      </c>
      <c r="E324" t="s">
        <v>17</v>
      </c>
      <c r="F324">
        <v>5000</v>
      </c>
      <c r="H324">
        <v>0</v>
      </c>
      <c r="I324">
        <v>0</v>
      </c>
      <c r="K324">
        <v>1413.3</v>
      </c>
      <c r="L324">
        <v>0</v>
      </c>
      <c r="N324">
        <v>3586.7</v>
      </c>
      <c r="P324" t="s">
        <v>353</v>
      </c>
    </row>
    <row r="325" spans="1:16">
      <c r="A325" t="s">
        <v>15</v>
      </c>
      <c r="B325">
        <v>268</v>
      </c>
      <c r="C325">
        <v>284</v>
      </c>
      <c r="D325" t="s">
        <v>221</v>
      </c>
      <c r="E325" t="s">
        <v>17</v>
      </c>
      <c r="F325">
        <v>335000</v>
      </c>
      <c r="H325">
        <v>0</v>
      </c>
      <c r="I325">
        <v>0</v>
      </c>
      <c r="K325">
        <v>163846.13</v>
      </c>
      <c r="L325">
        <v>0</v>
      </c>
      <c r="N325">
        <v>171153.87</v>
      </c>
      <c r="P325" t="s">
        <v>354</v>
      </c>
    </row>
    <row r="326" spans="1:16">
      <c r="A326" t="s">
        <v>15</v>
      </c>
      <c r="B326">
        <v>268</v>
      </c>
      <c r="C326">
        <v>297</v>
      </c>
      <c r="D326" t="s">
        <v>355</v>
      </c>
      <c r="E326" t="s">
        <v>17</v>
      </c>
      <c r="F326">
        <v>403213.96</v>
      </c>
      <c r="H326">
        <v>0</v>
      </c>
      <c r="I326">
        <v>0</v>
      </c>
      <c r="K326">
        <v>60000</v>
      </c>
      <c r="L326">
        <v>0</v>
      </c>
      <c r="N326">
        <v>343213.96</v>
      </c>
      <c r="P326" t="s">
        <v>356</v>
      </c>
    </row>
    <row r="327" spans="1:16">
      <c r="A327" t="s">
        <v>15</v>
      </c>
      <c r="B327">
        <v>268</v>
      </c>
      <c r="C327">
        <v>461</v>
      </c>
      <c r="D327" t="s">
        <v>357</v>
      </c>
      <c r="E327" t="s">
        <v>17</v>
      </c>
      <c r="F327">
        <v>40000</v>
      </c>
      <c r="H327">
        <v>0</v>
      </c>
      <c r="I327">
        <v>0</v>
      </c>
      <c r="K327">
        <v>2470</v>
      </c>
      <c r="L327">
        <v>0</v>
      </c>
      <c r="N327">
        <v>37530</v>
      </c>
    </row>
    <row r="328" spans="1:16">
      <c r="A328" t="s">
        <v>15</v>
      </c>
      <c r="B328">
        <v>268</v>
      </c>
      <c r="C328">
        <v>463</v>
      </c>
      <c r="D328" t="s">
        <v>358</v>
      </c>
      <c r="E328" t="s">
        <v>17</v>
      </c>
      <c r="F328">
        <v>1500000</v>
      </c>
      <c r="H328">
        <v>0</v>
      </c>
      <c r="I328">
        <v>0</v>
      </c>
      <c r="K328">
        <v>0</v>
      </c>
      <c r="L328">
        <v>0</v>
      </c>
      <c r="N328">
        <v>1500000</v>
      </c>
    </row>
    <row r="329" spans="1:16">
      <c r="A329" t="s">
        <v>15</v>
      </c>
      <c r="B329">
        <v>268</v>
      </c>
      <c r="C329">
        <v>472</v>
      </c>
      <c r="D329" t="s">
        <v>359</v>
      </c>
      <c r="E329" t="s">
        <v>17</v>
      </c>
      <c r="F329">
        <v>322190.56</v>
      </c>
      <c r="H329">
        <v>0</v>
      </c>
      <c r="I329">
        <v>0</v>
      </c>
      <c r="K329">
        <v>0</v>
      </c>
      <c r="L329">
        <v>0</v>
      </c>
      <c r="N329">
        <v>322190.56</v>
      </c>
    </row>
    <row r="330" spans="1:16">
      <c r="A330" t="s">
        <v>15</v>
      </c>
      <c r="B330">
        <v>268</v>
      </c>
      <c r="C330">
        <v>474</v>
      </c>
      <c r="D330" t="s">
        <v>360</v>
      </c>
      <c r="E330" t="s">
        <v>361</v>
      </c>
      <c r="F330">
        <v>893853.92</v>
      </c>
      <c r="H330">
        <v>956158.77</v>
      </c>
      <c r="I330">
        <v>0</v>
      </c>
      <c r="K330">
        <v>0</v>
      </c>
      <c r="L330">
        <v>0</v>
      </c>
      <c r="N330">
        <v>-62304.85</v>
      </c>
    </row>
    <row r="331" spans="1:16">
      <c r="A331" t="s">
        <v>15</v>
      </c>
      <c r="B331">
        <v>268</v>
      </c>
      <c r="C331">
        <v>8835</v>
      </c>
      <c r="D331" t="s">
        <v>362</v>
      </c>
      <c r="E331" t="s">
        <v>46</v>
      </c>
      <c r="F331">
        <v>-1104000</v>
      </c>
      <c r="H331">
        <v>0</v>
      </c>
      <c r="I331">
        <v>0</v>
      </c>
      <c r="K331">
        <v>0</v>
      </c>
      <c r="L331">
        <v>0</v>
      </c>
      <c r="N331">
        <v>-1104000</v>
      </c>
    </row>
    <row r="332" spans="1:16">
      <c r="A332" t="s">
        <v>15</v>
      </c>
      <c r="B332">
        <v>268</v>
      </c>
      <c r="C332">
        <v>8875</v>
      </c>
      <c r="D332" t="s">
        <v>363</v>
      </c>
      <c r="E332" t="s">
        <v>46</v>
      </c>
      <c r="F332">
        <v>-45418.239999999998</v>
      </c>
      <c r="H332">
        <v>0</v>
      </c>
      <c r="I332">
        <v>0</v>
      </c>
      <c r="K332">
        <v>0</v>
      </c>
      <c r="L332">
        <v>0</v>
      </c>
      <c r="N332">
        <v>-45418.239999999998</v>
      </c>
    </row>
    <row r="333" spans="1:16">
      <c r="A333" t="s">
        <v>15</v>
      </c>
      <c r="B333">
        <v>268</v>
      </c>
      <c r="C333">
        <v>8877</v>
      </c>
      <c r="D333" t="s">
        <v>147</v>
      </c>
      <c r="E333" t="s">
        <v>46</v>
      </c>
      <c r="F333">
        <v>-1216044.48</v>
      </c>
      <c r="H333">
        <v>0</v>
      </c>
      <c r="I333">
        <v>0</v>
      </c>
      <c r="K333">
        <v>0</v>
      </c>
      <c r="L333">
        <v>0</v>
      </c>
      <c r="N333">
        <v>-1216044.48</v>
      </c>
    </row>
    <row r="334" spans="1:16">
      <c r="A334" t="s">
        <v>15</v>
      </c>
      <c r="B334">
        <v>268</v>
      </c>
      <c r="C334">
        <v>8950</v>
      </c>
      <c r="D334" t="s">
        <v>364</v>
      </c>
      <c r="E334" t="s">
        <v>17</v>
      </c>
      <c r="F334">
        <v>-18958000</v>
      </c>
      <c r="H334">
        <v>0</v>
      </c>
      <c r="I334">
        <v>0</v>
      </c>
      <c r="K334">
        <v>0</v>
      </c>
      <c r="L334">
        <v>-14757635.58</v>
      </c>
      <c r="N334">
        <v>-4200364.42</v>
      </c>
      <c r="P334" t="s">
        <v>365</v>
      </c>
    </row>
    <row r="335" spans="1:16">
      <c r="A335" t="s">
        <v>15</v>
      </c>
      <c r="B335">
        <v>268</v>
      </c>
      <c r="C335">
        <v>9001</v>
      </c>
      <c r="D335" t="s">
        <v>366</v>
      </c>
      <c r="E335" t="s">
        <v>46</v>
      </c>
      <c r="F335">
        <v>0</v>
      </c>
      <c r="H335">
        <v>0</v>
      </c>
      <c r="I335">
        <v>0</v>
      </c>
      <c r="K335">
        <v>0</v>
      </c>
      <c r="L335">
        <v>-122.81</v>
      </c>
      <c r="N335">
        <v>122.81</v>
      </c>
      <c r="P335" t="s">
        <v>367</v>
      </c>
    </row>
    <row r="336" spans="1:16">
      <c r="C336" t="s">
        <v>368</v>
      </c>
      <c r="D336" t="s">
        <v>369</v>
      </c>
      <c r="F336" t="s">
        <v>52</v>
      </c>
      <c r="G336">
        <v>10368405.779999999</v>
      </c>
      <c r="I336">
        <v>956158.77</v>
      </c>
      <c r="J336">
        <v>0</v>
      </c>
      <c r="L336">
        <v>24967358.809999999</v>
      </c>
      <c r="M336">
        <v>-14757758.390000001</v>
      </c>
      <c r="O336">
        <v>-797353.41</v>
      </c>
    </row>
    <row r="337" spans="1:16">
      <c r="H337" t="s">
        <v>53</v>
      </c>
      <c r="I337">
        <v>956158.77</v>
      </c>
      <c r="K337" t="s">
        <v>54</v>
      </c>
      <c r="L337">
        <v>10209600.42</v>
      </c>
    </row>
    <row r="339" spans="1:16">
      <c r="A339" t="s">
        <v>15</v>
      </c>
      <c r="B339">
        <v>274</v>
      </c>
      <c r="C339">
        <v>1</v>
      </c>
      <c r="D339" t="s">
        <v>16</v>
      </c>
      <c r="E339" t="s">
        <v>46</v>
      </c>
      <c r="F339">
        <v>4828937.71</v>
      </c>
      <c r="H339">
        <v>0</v>
      </c>
      <c r="I339">
        <v>0</v>
      </c>
      <c r="K339">
        <v>3259873.06</v>
      </c>
      <c r="L339">
        <v>0</v>
      </c>
      <c r="N339">
        <v>1569064.65</v>
      </c>
      <c r="P339" t="s">
        <v>370</v>
      </c>
    </row>
    <row r="340" spans="1:16">
      <c r="A340" t="s">
        <v>15</v>
      </c>
      <c r="B340">
        <v>274</v>
      </c>
      <c r="C340">
        <v>3</v>
      </c>
      <c r="D340" t="s">
        <v>56</v>
      </c>
      <c r="E340" t="s">
        <v>17</v>
      </c>
      <c r="F340">
        <v>74820</v>
      </c>
      <c r="H340">
        <v>0</v>
      </c>
      <c r="I340">
        <v>0</v>
      </c>
      <c r="K340">
        <v>54500</v>
      </c>
      <c r="L340">
        <v>0</v>
      </c>
      <c r="N340">
        <v>20320</v>
      </c>
      <c r="P340" t="s">
        <v>371</v>
      </c>
    </row>
    <row r="341" spans="1:16">
      <c r="A341" t="s">
        <v>15</v>
      </c>
      <c r="B341">
        <v>274</v>
      </c>
      <c r="C341">
        <v>4</v>
      </c>
      <c r="D341" t="s">
        <v>58</v>
      </c>
      <c r="E341" t="s">
        <v>17</v>
      </c>
      <c r="F341">
        <v>17248.66</v>
      </c>
      <c r="H341">
        <v>0</v>
      </c>
      <c r="I341">
        <v>0</v>
      </c>
      <c r="K341">
        <v>11904.19</v>
      </c>
      <c r="L341">
        <v>0</v>
      </c>
      <c r="N341">
        <v>5344.47</v>
      </c>
      <c r="P341" t="s">
        <v>372</v>
      </c>
    </row>
    <row r="342" spans="1:16">
      <c r="A342" t="s">
        <v>15</v>
      </c>
      <c r="B342">
        <v>274</v>
      </c>
      <c r="C342">
        <v>6</v>
      </c>
      <c r="D342" t="s">
        <v>19</v>
      </c>
      <c r="E342" t="s">
        <v>17</v>
      </c>
      <c r="F342">
        <v>288562.02</v>
      </c>
      <c r="H342">
        <v>0</v>
      </c>
      <c r="I342">
        <v>0</v>
      </c>
      <c r="K342">
        <v>196768.56</v>
      </c>
      <c r="L342">
        <v>0</v>
      </c>
      <c r="N342">
        <v>91793.46</v>
      </c>
      <c r="P342" t="s">
        <v>373</v>
      </c>
    </row>
    <row r="343" spans="1:16">
      <c r="A343" t="s">
        <v>15</v>
      </c>
      <c r="B343">
        <v>274</v>
      </c>
      <c r="C343">
        <v>8</v>
      </c>
      <c r="D343" t="s">
        <v>173</v>
      </c>
      <c r="E343" t="s">
        <v>17</v>
      </c>
      <c r="F343">
        <v>15495.86</v>
      </c>
      <c r="H343">
        <v>0</v>
      </c>
      <c r="I343">
        <v>0</v>
      </c>
      <c r="K343">
        <v>8307.7800000000007</v>
      </c>
      <c r="L343">
        <v>0</v>
      </c>
      <c r="N343">
        <v>7188.08</v>
      </c>
      <c r="P343" t="s">
        <v>374</v>
      </c>
    </row>
    <row r="344" spans="1:16">
      <c r="A344" t="s">
        <v>15</v>
      </c>
      <c r="B344">
        <v>274</v>
      </c>
      <c r="C344">
        <v>10</v>
      </c>
      <c r="D344" t="s">
        <v>22</v>
      </c>
      <c r="E344" t="s">
        <v>17</v>
      </c>
      <c r="F344">
        <v>816561.28</v>
      </c>
      <c r="H344">
        <v>0</v>
      </c>
      <c r="I344">
        <v>0</v>
      </c>
      <c r="K344">
        <v>564320.57999999996</v>
      </c>
      <c r="L344">
        <v>0</v>
      </c>
      <c r="N344">
        <v>252240.7</v>
      </c>
      <c r="P344" t="s">
        <v>375</v>
      </c>
    </row>
    <row r="345" spans="1:16">
      <c r="A345" t="s">
        <v>15</v>
      </c>
      <c r="B345">
        <v>274</v>
      </c>
      <c r="C345">
        <v>11</v>
      </c>
      <c r="D345" t="s">
        <v>24</v>
      </c>
      <c r="E345" t="s">
        <v>17</v>
      </c>
      <c r="F345">
        <v>210705.32</v>
      </c>
      <c r="H345">
        <v>0</v>
      </c>
      <c r="I345">
        <v>0</v>
      </c>
      <c r="K345">
        <v>141020.20000000001</v>
      </c>
      <c r="L345">
        <v>0</v>
      </c>
      <c r="N345">
        <v>69685.119999999995</v>
      </c>
      <c r="P345" t="s">
        <v>376</v>
      </c>
    </row>
    <row r="346" spans="1:16">
      <c r="A346" t="s">
        <v>15</v>
      </c>
      <c r="B346">
        <v>274</v>
      </c>
      <c r="C346">
        <v>14</v>
      </c>
      <c r="D346" t="s">
        <v>25</v>
      </c>
      <c r="E346" t="s">
        <v>17</v>
      </c>
      <c r="F346">
        <v>222504</v>
      </c>
      <c r="H346">
        <v>0</v>
      </c>
      <c r="I346">
        <v>0</v>
      </c>
      <c r="K346">
        <v>156803</v>
      </c>
      <c r="L346">
        <v>0</v>
      </c>
      <c r="N346">
        <v>65701</v>
      </c>
      <c r="P346" t="s">
        <v>377</v>
      </c>
    </row>
    <row r="347" spans="1:16">
      <c r="A347" t="s">
        <v>15</v>
      </c>
      <c r="B347">
        <v>274</v>
      </c>
      <c r="C347">
        <v>16</v>
      </c>
      <c r="D347" t="s">
        <v>27</v>
      </c>
      <c r="E347" t="s">
        <v>17</v>
      </c>
      <c r="F347">
        <v>42975.58</v>
      </c>
      <c r="H347">
        <v>0</v>
      </c>
      <c r="I347">
        <v>0</v>
      </c>
      <c r="K347">
        <v>29923.03</v>
      </c>
      <c r="L347">
        <v>0</v>
      </c>
      <c r="N347">
        <v>13052.55</v>
      </c>
      <c r="P347" t="s">
        <v>378</v>
      </c>
    </row>
    <row r="348" spans="1:16">
      <c r="A348" t="s">
        <v>15</v>
      </c>
      <c r="B348">
        <v>274</v>
      </c>
      <c r="C348">
        <v>17</v>
      </c>
      <c r="D348" t="s">
        <v>29</v>
      </c>
      <c r="E348" t="s">
        <v>17</v>
      </c>
      <c r="F348">
        <v>35310</v>
      </c>
      <c r="H348">
        <v>0</v>
      </c>
      <c r="I348">
        <v>0</v>
      </c>
      <c r="K348">
        <v>22909.8</v>
      </c>
      <c r="L348">
        <v>0</v>
      </c>
      <c r="N348">
        <v>12400.2</v>
      </c>
      <c r="P348" t="s">
        <v>379</v>
      </c>
    </row>
    <row r="349" spans="1:16">
      <c r="A349" t="s">
        <v>15</v>
      </c>
      <c r="B349">
        <v>274</v>
      </c>
      <c r="C349">
        <v>18</v>
      </c>
      <c r="D349" t="s">
        <v>31</v>
      </c>
      <c r="E349" t="s">
        <v>17</v>
      </c>
      <c r="F349">
        <v>345911.88</v>
      </c>
      <c r="H349">
        <v>0</v>
      </c>
      <c r="I349">
        <v>0</v>
      </c>
      <c r="K349">
        <v>242037.43</v>
      </c>
      <c r="L349">
        <v>0</v>
      </c>
      <c r="N349">
        <v>103874.45</v>
      </c>
      <c r="P349" t="s">
        <v>380</v>
      </c>
    </row>
    <row r="350" spans="1:16">
      <c r="A350" t="s">
        <v>15</v>
      </c>
      <c r="B350">
        <v>274</v>
      </c>
      <c r="C350">
        <v>102</v>
      </c>
      <c r="D350" t="s">
        <v>66</v>
      </c>
      <c r="E350" t="s">
        <v>17</v>
      </c>
      <c r="F350">
        <v>55298.62</v>
      </c>
      <c r="H350">
        <v>0</v>
      </c>
      <c r="I350">
        <v>0</v>
      </c>
      <c r="K350">
        <v>38239.46</v>
      </c>
      <c r="L350">
        <v>0</v>
      </c>
      <c r="N350">
        <v>17059.16</v>
      </c>
      <c r="P350" t="s">
        <v>381</v>
      </c>
    </row>
    <row r="351" spans="1:16">
      <c r="A351" t="s">
        <v>15</v>
      </c>
      <c r="B351">
        <v>274</v>
      </c>
      <c r="C351">
        <v>103</v>
      </c>
      <c r="D351" t="s">
        <v>382</v>
      </c>
      <c r="E351" t="s">
        <v>17</v>
      </c>
      <c r="F351">
        <v>5756.6</v>
      </c>
      <c r="H351">
        <v>0</v>
      </c>
      <c r="I351">
        <v>0</v>
      </c>
      <c r="K351">
        <v>4258.6000000000004</v>
      </c>
      <c r="L351">
        <v>0</v>
      </c>
      <c r="N351">
        <v>1498</v>
      </c>
      <c r="P351" t="s">
        <v>383</v>
      </c>
    </row>
    <row r="352" spans="1:16">
      <c r="A352" t="s">
        <v>15</v>
      </c>
      <c r="B352">
        <v>274</v>
      </c>
      <c r="C352">
        <v>104</v>
      </c>
      <c r="D352" t="s">
        <v>34</v>
      </c>
      <c r="E352" t="s">
        <v>17</v>
      </c>
      <c r="F352">
        <v>2287.34</v>
      </c>
      <c r="H352">
        <v>0</v>
      </c>
      <c r="I352">
        <v>0</v>
      </c>
      <c r="K352">
        <v>1590.29</v>
      </c>
      <c r="L352">
        <v>0</v>
      </c>
      <c r="N352">
        <v>697.05</v>
      </c>
      <c r="P352" t="s">
        <v>384</v>
      </c>
    </row>
    <row r="353" spans="1:16">
      <c r="A353" t="s">
        <v>15</v>
      </c>
      <c r="B353">
        <v>274</v>
      </c>
      <c r="C353">
        <v>108</v>
      </c>
      <c r="D353" t="s">
        <v>385</v>
      </c>
      <c r="E353" t="s">
        <v>17</v>
      </c>
      <c r="F353">
        <v>300000</v>
      </c>
      <c r="H353">
        <v>0</v>
      </c>
      <c r="I353">
        <v>0</v>
      </c>
      <c r="K353">
        <v>0</v>
      </c>
      <c r="L353">
        <v>-18589.849999999999</v>
      </c>
      <c r="N353">
        <v>318589.84999999998</v>
      </c>
      <c r="P353" t="s">
        <v>386</v>
      </c>
    </row>
    <row r="354" spans="1:16">
      <c r="A354" t="s">
        <v>15</v>
      </c>
      <c r="B354">
        <v>274</v>
      </c>
      <c r="C354">
        <v>117</v>
      </c>
      <c r="D354" t="s">
        <v>338</v>
      </c>
      <c r="E354" t="s">
        <v>17</v>
      </c>
      <c r="F354">
        <v>10520500</v>
      </c>
      <c r="H354">
        <v>0</v>
      </c>
      <c r="I354">
        <v>0</v>
      </c>
      <c r="K354">
        <v>19752913.690000001</v>
      </c>
      <c r="L354">
        <v>0</v>
      </c>
      <c r="N354">
        <v>-9232413.6899999995</v>
      </c>
      <c r="P354" t="s">
        <v>387</v>
      </c>
    </row>
    <row r="355" spans="1:16">
      <c r="A355" t="s">
        <v>15</v>
      </c>
      <c r="B355">
        <v>274</v>
      </c>
      <c r="C355">
        <v>119</v>
      </c>
      <c r="D355" t="s">
        <v>388</v>
      </c>
      <c r="E355" t="s">
        <v>17</v>
      </c>
      <c r="F355">
        <v>550000</v>
      </c>
      <c r="H355">
        <v>0</v>
      </c>
      <c r="I355">
        <v>0</v>
      </c>
      <c r="K355">
        <v>353846.21</v>
      </c>
      <c r="L355">
        <v>0</v>
      </c>
      <c r="N355">
        <v>196153.79</v>
      </c>
      <c r="P355" t="s">
        <v>389</v>
      </c>
    </row>
    <row r="356" spans="1:16">
      <c r="A356" t="s">
        <v>15</v>
      </c>
      <c r="B356">
        <v>274</v>
      </c>
      <c r="C356">
        <v>121</v>
      </c>
      <c r="D356" t="s">
        <v>390</v>
      </c>
      <c r="E356" t="s">
        <v>17</v>
      </c>
      <c r="F356">
        <v>1000</v>
      </c>
      <c r="H356">
        <v>0</v>
      </c>
      <c r="I356">
        <v>0</v>
      </c>
      <c r="K356">
        <v>247.77</v>
      </c>
      <c r="L356">
        <v>0</v>
      </c>
      <c r="N356">
        <v>752.23</v>
      </c>
      <c r="P356" t="s">
        <v>391</v>
      </c>
    </row>
    <row r="357" spans="1:16">
      <c r="A357" t="s">
        <v>15</v>
      </c>
      <c r="B357">
        <v>274</v>
      </c>
      <c r="C357">
        <v>123</v>
      </c>
      <c r="D357" t="s">
        <v>187</v>
      </c>
      <c r="E357" t="s">
        <v>17</v>
      </c>
      <c r="F357">
        <v>10000</v>
      </c>
      <c r="H357">
        <v>0</v>
      </c>
      <c r="I357">
        <v>0</v>
      </c>
      <c r="K357">
        <v>0</v>
      </c>
      <c r="L357">
        <v>0</v>
      </c>
      <c r="N357">
        <v>10000</v>
      </c>
      <c r="P357" t="s">
        <v>392</v>
      </c>
    </row>
    <row r="358" spans="1:16">
      <c r="A358" t="s">
        <v>15</v>
      </c>
      <c r="B358">
        <v>274</v>
      </c>
      <c r="C358">
        <v>129</v>
      </c>
      <c r="D358" t="s">
        <v>230</v>
      </c>
      <c r="E358" t="s">
        <v>17</v>
      </c>
      <c r="F358">
        <v>10000</v>
      </c>
      <c r="H358">
        <v>0</v>
      </c>
      <c r="I358">
        <v>0</v>
      </c>
      <c r="K358">
        <v>0</v>
      </c>
      <c r="L358">
        <v>0</v>
      </c>
      <c r="N358">
        <v>10000</v>
      </c>
      <c r="P358" t="s">
        <v>393</v>
      </c>
    </row>
    <row r="359" spans="1:16">
      <c r="A359" t="s">
        <v>15</v>
      </c>
      <c r="B359">
        <v>274</v>
      </c>
      <c r="C359">
        <v>173</v>
      </c>
      <c r="D359" t="s">
        <v>394</v>
      </c>
      <c r="E359" t="s">
        <v>17</v>
      </c>
      <c r="F359">
        <v>1080000</v>
      </c>
      <c r="H359">
        <v>0</v>
      </c>
      <c r="I359">
        <v>0</v>
      </c>
      <c r="K359">
        <v>0</v>
      </c>
      <c r="L359">
        <v>0</v>
      </c>
      <c r="N359">
        <v>1080000</v>
      </c>
    </row>
    <row r="360" spans="1:16">
      <c r="A360" t="s">
        <v>15</v>
      </c>
      <c r="B360">
        <v>274</v>
      </c>
      <c r="C360">
        <v>175</v>
      </c>
      <c r="D360" t="s">
        <v>127</v>
      </c>
      <c r="E360" t="s">
        <v>17</v>
      </c>
      <c r="F360">
        <v>10000</v>
      </c>
      <c r="H360">
        <v>0</v>
      </c>
      <c r="I360">
        <v>0</v>
      </c>
      <c r="K360">
        <v>816.81</v>
      </c>
      <c r="L360">
        <v>0</v>
      </c>
      <c r="N360">
        <v>9183.19</v>
      </c>
    </row>
    <row r="361" spans="1:16">
      <c r="A361" t="s">
        <v>15</v>
      </c>
      <c r="B361">
        <v>274</v>
      </c>
      <c r="C361">
        <v>183</v>
      </c>
      <c r="D361" t="s">
        <v>395</v>
      </c>
      <c r="E361" t="s">
        <v>17</v>
      </c>
      <c r="F361">
        <v>301395.08</v>
      </c>
      <c r="H361">
        <v>0</v>
      </c>
      <c r="I361">
        <v>0</v>
      </c>
      <c r="K361">
        <v>0</v>
      </c>
      <c r="L361">
        <v>0</v>
      </c>
      <c r="N361">
        <v>301395.08</v>
      </c>
    </row>
    <row r="362" spans="1:16">
      <c r="A362" t="s">
        <v>15</v>
      </c>
      <c r="B362">
        <v>274</v>
      </c>
      <c r="C362">
        <v>191</v>
      </c>
      <c r="D362" t="s">
        <v>201</v>
      </c>
      <c r="E362" t="s">
        <v>17</v>
      </c>
      <c r="F362">
        <v>10000</v>
      </c>
      <c r="H362">
        <v>0</v>
      </c>
      <c r="I362">
        <v>0</v>
      </c>
      <c r="K362">
        <v>0</v>
      </c>
      <c r="L362">
        <v>0</v>
      </c>
      <c r="N362">
        <v>10000</v>
      </c>
      <c r="P362" t="s">
        <v>396</v>
      </c>
    </row>
    <row r="363" spans="1:16">
      <c r="A363" t="s">
        <v>15</v>
      </c>
      <c r="B363">
        <v>274</v>
      </c>
      <c r="C363">
        <v>193</v>
      </c>
      <c r="D363" t="s">
        <v>36</v>
      </c>
      <c r="E363" t="s">
        <v>17</v>
      </c>
      <c r="F363">
        <v>4540000</v>
      </c>
      <c r="H363">
        <v>0</v>
      </c>
      <c r="I363">
        <v>0</v>
      </c>
      <c r="K363">
        <v>2344655.96</v>
      </c>
      <c r="L363">
        <v>0</v>
      </c>
      <c r="N363">
        <v>2195344.04</v>
      </c>
      <c r="P363" t="s">
        <v>397</v>
      </c>
    </row>
    <row r="364" spans="1:16">
      <c r="A364" t="s">
        <v>15</v>
      </c>
      <c r="B364">
        <v>274</v>
      </c>
      <c r="C364">
        <v>195</v>
      </c>
      <c r="D364" t="s">
        <v>38</v>
      </c>
      <c r="E364" t="s">
        <v>17</v>
      </c>
      <c r="F364">
        <v>270000</v>
      </c>
      <c r="H364">
        <v>0</v>
      </c>
      <c r="I364">
        <v>0</v>
      </c>
      <c r="K364">
        <v>137110.64000000001</v>
      </c>
      <c r="L364">
        <v>0</v>
      </c>
      <c r="N364">
        <v>132889.35999999999</v>
      </c>
      <c r="P364" t="s">
        <v>398</v>
      </c>
    </row>
    <row r="365" spans="1:16">
      <c r="A365" t="s">
        <v>15</v>
      </c>
      <c r="B365">
        <v>274</v>
      </c>
      <c r="C365">
        <v>197</v>
      </c>
      <c r="D365" t="s">
        <v>399</v>
      </c>
      <c r="E365" t="s">
        <v>17</v>
      </c>
      <c r="F365">
        <v>100000</v>
      </c>
      <c r="H365">
        <v>0</v>
      </c>
      <c r="I365">
        <v>0</v>
      </c>
      <c r="K365">
        <v>0</v>
      </c>
      <c r="L365">
        <v>0</v>
      </c>
      <c r="N365">
        <v>100000</v>
      </c>
      <c r="P365" t="s">
        <v>400</v>
      </c>
    </row>
    <row r="366" spans="1:16">
      <c r="A366" t="s">
        <v>15</v>
      </c>
      <c r="B366">
        <v>274</v>
      </c>
      <c r="C366">
        <v>199</v>
      </c>
      <c r="D366" t="s">
        <v>401</v>
      </c>
      <c r="E366" t="s">
        <v>17</v>
      </c>
      <c r="F366">
        <v>100000</v>
      </c>
      <c r="H366">
        <v>0</v>
      </c>
      <c r="I366">
        <v>0</v>
      </c>
      <c r="K366">
        <v>0</v>
      </c>
      <c r="L366">
        <v>0</v>
      </c>
      <c r="N366">
        <v>100000</v>
      </c>
      <c r="P366" t="s">
        <v>402</v>
      </c>
    </row>
    <row r="367" spans="1:16">
      <c r="A367" t="s">
        <v>15</v>
      </c>
      <c r="B367">
        <v>274</v>
      </c>
      <c r="C367">
        <v>204</v>
      </c>
      <c r="D367" t="s">
        <v>42</v>
      </c>
      <c r="E367" t="s">
        <v>17</v>
      </c>
      <c r="F367">
        <v>1400000</v>
      </c>
      <c r="H367">
        <v>0</v>
      </c>
      <c r="I367">
        <v>0</v>
      </c>
      <c r="K367">
        <v>990824.12</v>
      </c>
      <c r="L367">
        <v>0</v>
      </c>
      <c r="N367">
        <v>409175.88</v>
      </c>
      <c r="P367" t="s">
        <v>403</v>
      </c>
    </row>
    <row r="368" spans="1:16">
      <c r="A368" t="s">
        <v>15</v>
      </c>
      <c r="B368">
        <v>274</v>
      </c>
      <c r="C368">
        <v>210</v>
      </c>
      <c r="D368" t="s">
        <v>404</v>
      </c>
      <c r="E368" t="s">
        <v>17</v>
      </c>
      <c r="F368">
        <v>509054.52</v>
      </c>
      <c r="H368">
        <v>0</v>
      </c>
      <c r="I368">
        <v>0</v>
      </c>
      <c r="K368">
        <v>0</v>
      </c>
      <c r="L368">
        <v>0</v>
      </c>
      <c r="N368">
        <v>509054.52</v>
      </c>
      <c r="P368" t="s">
        <v>405</v>
      </c>
    </row>
    <row r="369" spans="1:16">
      <c r="A369" t="s">
        <v>15</v>
      </c>
      <c r="B369">
        <v>274</v>
      </c>
      <c r="C369">
        <v>235</v>
      </c>
      <c r="D369" t="s">
        <v>406</v>
      </c>
      <c r="E369" t="s">
        <v>17</v>
      </c>
      <c r="F369">
        <v>1510000</v>
      </c>
      <c r="H369">
        <v>0</v>
      </c>
      <c r="I369">
        <v>0</v>
      </c>
      <c r="K369">
        <v>1048675.74</v>
      </c>
      <c r="L369">
        <v>0</v>
      </c>
      <c r="N369">
        <v>461324.26</v>
      </c>
      <c r="P369" t="s">
        <v>407</v>
      </c>
    </row>
    <row r="370" spans="1:16">
      <c r="A370" t="s">
        <v>15</v>
      </c>
      <c r="B370">
        <v>274</v>
      </c>
      <c r="C370">
        <v>243</v>
      </c>
      <c r="D370" t="s">
        <v>408</v>
      </c>
      <c r="E370" t="s">
        <v>17</v>
      </c>
      <c r="F370">
        <v>50000</v>
      </c>
      <c r="H370">
        <v>0</v>
      </c>
      <c r="I370">
        <v>0</v>
      </c>
      <c r="K370">
        <v>24550.799999999999</v>
      </c>
      <c r="L370">
        <v>0</v>
      </c>
      <c r="N370">
        <v>25449.200000000001</v>
      </c>
      <c r="P370" t="s">
        <v>409</v>
      </c>
    </row>
    <row r="371" spans="1:16">
      <c r="A371" t="s">
        <v>15</v>
      </c>
      <c r="B371">
        <v>274</v>
      </c>
      <c r="C371">
        <v>244</v>
      </c>
      <c r="D371" t="s">
        <v>410</v>
      </c>
      <c r="E371" t="s">
        <v>17</v>
      </c>
      <c r="F371">
        <v>20000</v>
      </c>
      <c r="H371">
        <v>0</v>
      </c>
      <c r="I371">
        <v>0</v>
      </c>
      <c r="K371">
        <v>1350</v>
      </c>
      <c r="L371">
        <v>0</v>
      </c>
      <c r="N371">
        <v>18650</v>
      </c>
      <c r="P371" t="s">
        <v>411</v>
      </c>
    </row>
    <row r="372" spans="1:16">
      <c r="A372" t="s">
        <v>15</v>
      </c>
      <c r="B372">
        <v>274</v>
      </c>
      <c r="C372">
        <v>246</v>
      </c>
      <c r="D372" t="s">
        <v>412</v>
      </c>
      <c r="E372" t="s">
        <v>17</v>
      </c>
      <c r="F372">
        <v>300000</v>
      </c>
      <c r="H372">
        <v>0</v>
      </c>
      <c r="I372">
        <v>0</v>
      </c>
      <c r="K372">
        <v>150471.99</v>
      </c>
      <c r="L372">
        <v>0</v>
      </c>
      <c r="N372">
        <v>149528.01</v>
      </c>
    </row>
    <row r="373" spans="1:16">
      <c r="A373" t="s">
        <v>15</v>
      </c>
      <c r="B373">
        <v>274</v>
      </c>
      <c r="C373">
        <v>256</v>
      </c>
      <c r="D373" t="s">
        <v>350</v>
      </c>
      <c r="E373" t="s">
        <v>17</v>
      </c>
      <c r="F373">
        <v>345560</v>
      </c>
      <c r="H373">
        <v>0</v>
      </c>
      <c r="I373">
        <v>0</v>
      </c>
      <c r="K373">
        <v>310059.17</v>
      </c>
      <c r="L373">
        <v>0</v>
      </c>
      <c r="N373">
        <v>35500.83</v>
      </c>
      <c r="P373" t="s">
        <v>413</v>
      </c>
    </row>
    <row r="374" spans="1:16">
      <c r="A374" t="s">
        <v>15</v>
      </c>
      <c r="B374">
        <v>274</v>
      </c>
      <c r="C374">
        <v>266</v>
      </c>
      <c r="D374" t="s">
        <v>414</v>
      </c>
      <c r="E374" t="s">
        <v>17</v>
      </c>
      <c r="F374">
        <v>120000</v>
      </c>
      <c r="H374">
        <v>0</v>
      </c>
      <c r="I374">
        <v>0</v>
      </c>
      <c r="K374">
        <v>7395</v>
      </c>
      <c r="L374">
        <v>0</v>
      </c>
      <c r="N374">
        <v>112605</v>
      </c>
      <c r="P374" t="s">
        <v>415</v>
      </c>
    </row>
    <row r="375" spans="1:16">
      <c r="A375" t="s">
        <v>15</v>
      </c>
      <c r="B375">
        <v>274</v>
      </c>
      <c r="C375">
        <v>303</v>
      </c>
      <c r="D375" t="s">
        <v>416</v>
      </c>
      <c r="E375" t="s">
        <v>17</v>
      </c>
      <c r="F375">
        <v>2800000</v>
      </c>
      <c r="H375">
        <v>0</v>
      </c>
      <c r="I375">
        <v>0</v>
      </c>
      <c r="K375">
        <v>795760.29</v>
      </c>
      <c r="L375">
        <v>0</v>
      </c>
      <c r="N375">
        <v>2004239.71</v>
      </c>
      <c r="P375" t="s">
        <v>417</v>
      </c>
    </row>
    <row r="376" spans="1:16">
      <c r="A376" t="s">
        <v>15</v>
      </c>
      <c r="B376">
        <v>274</v>
      </c>
      <c r="C376">
        <v>456</v>
      </c>
      <c r="D376" t="s">
        <v>226</v>
      </c>
      <c r="E376" t="s">
        <v>17</v>
      </c>
      <c r="F376">
        <v>55000</v>
      </c>
      <c r="H376">
        <v>0</v>
      </c>
      <c r="I376">
        <v>0</v>
      </c>
      <c r="K376">
        <v>76326.59</v>
      </c>
      <c r="L376">
        <v>0</v>
      </c>
      <c r="N376">
        <v>-21326.59</v>
      </c>
      <c r="P376" t="s">
        <v>418</v>
      </c>
    </row>
    <row r="377" spans="1:16">
      <c r="A377" t="s">
        <v>15</v>
      </c>
      <c r="B377">
        <v>274</v>
      </c>
      <c r="C377">
        <v>457</v>
      </c>
      <c r="D377" t="s">
        <v>419</v>
      </c>
      <c r="E377" t="s">
        <v>17</v>
      </c>
      <c r="F377">
        <v>750000</v>
      </c>
      <c r="H377">
        <v>0</v>
      </c>
      <c r="I377">
        <v>0</v>
      </c>
      <c r="K377">
        <v>192203.79</v>
      </c>
      <c r="L377">
        <v>0</v>
      </c>
      <c r="N377">
        <v>557796.21</v>
      </c>
    </row>
    <row r="378" spans="1:16">
      <c r="A378" t="s">
        <v>15</v>
      </c>
      <c r="B378">
        <v>274</v>
      </c>
      <c r="C378">
        <v>8806</v>
      </c>
      <c r="D378" t="s">
        <v>420</v>
      </c>
      <c r="E378" t="s">
        <v>46</v>
      </c>
      <c r="F378">
        <v>0</v>
      </c>
      <c r="H378">
        <v>0</v>
      </c>
      <c r="I378">
        <v>0</v>
      </c>
      <c r="K378">
        <v>0</v>
      </c>
      <c r="L378">
        <v>-165328.44</v>
      </c>
      <c r="N378">
        <v>165328.44</v>
      </c>
      <c r="P378" t="s">
        <v>421</v>
      </c>
    </row>
    <row r="379" spans="1:16">
      <c r="A379" t="s">
        <v>15</v>
      </c>
      <c r="B379">
        <v>274</v>
      </c>
      <c r="C379">
        <v>8821</v>
      </c>
      <c r="D379" t="s">
        <v>422</v>
      </c>
      <c r="E379" t="s">
        <v>46</v>
      </c>
      <c r="F379">
        <v>0</v>
      </c>
      <c r="H379">
        <v>0</v>
      </c>
      <c r="I379">
        <v>0</v>
      </c>
      <c r="K379">
        <v>0</v>
      </c>
      <c r="L379">
        <v>-27653.4</v>
      </c>
      <c r="N379">
        <v>27653.4</v>
      </c>
      <c r="P379" t="s">
        <v>423</v>
      </c>
    </row>
    <row r="380" spans="1:16">
      <c r="A380" t="s">
        <v>15</v>
      </c>
      <c r="B380">
        <v>274</v>
      </c>
      <c r="C380">
        <v>8823</v>
      </c>
      <c r="D380" t="s">
        <v>230</v>
      </c>
      <c r="E380" t="s">
        <v>46</v>
      </c>
      <c r="F380">
        <v>0</v>
      </c>
      <c r="H380">
        <v>0</v>
      </c>
      <c r="I380">
        <v>0</v>
      </c>
      <c r="K380">
        <v>0</v>
      </c>
      <c r="L380">
        <v>-75301.34</v>
      </c>
      <c r="N380">
        <v>75301.34</v>
      </c>
      <c r="P380" t="s">
        <v>424</v>
      </c>
    </row>
    <row r="381" spans="1:16">
      <c r="A381" t="s">
        <v>15</v>
      </c>
      <c r="B381">
        <v>274</v>
      </c>
      <c r="C381">
        <v>8829</v>
      </c>
      <c r="D381" t="s">
        <v>425</v>
      </c>
      <c r="E381" t="s">
        <v>46</v>
      </c>
      <c r="F381">
        <v>-23320000</v>
      </c>
      <c r="H381">
        <v>0</v>
      </c>
      <c r="I381">
        <v>0</v>
      </c>
      <c r="K381">
        <v>0</v>
      </c>
      <c r="L381">
        <v>-23615778.140000001</v>
      </c>
      <c r="N381">
        <v>295778.14</v>
      </c>
      <c r="P381" t="s">
        <v>426</v>
      </c>
    </row>
    <row r="382" spans="1:16">
      <c r="A382" t="s">
        <v>15</v>
      </c>
      <c r="B382">
        <v>274</v>
      </c>
      <c r="C382">
        <v>8831</v>
      </c>
      <c r="D382" t="s">
        <v>165</v>
      </c>
      <c r="E382" t="s">
        <v>46</v>
      </c>
      <c r="F382">
        <v>-50000</v>
      </c>
      <c r="H382">
        <v>0</v>
      </c>
      <c r="I382">
        <v>0</v>
      </c>
      <c r="K382">
        <v>0</v>
      </c>
      <c r="L382">
        <v>-934000</v>
      </c>
      <c r="N382">
        <v>884000</v>
      </c>
      <c r="P382" t="s">
        <v>427</v>
      </c>
    </row>
    <row r="383" spans="1:16">
      <c r="A383" t="s">
        <v>15</v>
      </c>
      <c r="B383">
        <v>274</v>
      </c>
      <c r="C383">
        <v>8832</v>
      </c>
      <c r="D383" t="s">
        <v>428</v>
      </c>
      <c r="E383" t="s">
        <v>46</v>
      </c>
      <c r="F383">
        <v>0</v>
      </c>
      <c r="H383">
        <v>0</v>
      </c>
      <c r="I383">
        <v>0</v>
      </c>
      <c r="K383">
        <v>0</v>
      </c>
      <c r="L383">
        <v>-1600000</v>
      </c>
      <c r="N383">
        <v>1600000</v>
      </c>
      <c r="P383" t="s">
        <v>429</v>
      </c>
    </row>
    <row r="384" spans="1:16">
      <c r="A384" t="s">
        <v>15</v>
      </c>
      <c r="B384">
        <v>274</v>
      </c>
      <c r="C384">
        <v>8835</v>
      </c>
      <c r="D384" t="s">
        <v>430</v>
      </c>
      <c r="E384" t="s">
        <v>46</v>
      </c>
      <c r="F384">
        <v>0</v>
      </c>
      <c r="H384">
        <v>0</v>
      </c>
      <c r="I384">
        <v>0</v>
      </c>
      <c r="K384">
        <v>0</v>
      </c>
      <c r="L384">
        <v>-1104000</v>
      </c>
      <c r="N384">
        <v>1104000</v>
      </c>
    </row>
    <row r="385" spans="1:16">
      <c r="A385" t="s">
        <v>15</v>
      </c>
      <c r="B385">
        <v>274</v>
      </c>
      <c r="C385">
        <v>8875</v>
      </c>
      <c r="D385" t="s">
        <v>431</v>
      </c>
      <c r="E385" t="s">
        <v>46</v>
      </c>
      <c r="F385">
        <v>0</v>
      </c>
      <c r="H385">
        <v>0</v>
      </c>
      <c r="I385">
        <v>0</v>
      </c>
      <c r="K385">
        <v>0</v>
      </c>
      <c r="L385">
        <v>-56189000</v>
      </c>
      <c r="N385">
        <v>56189000</v>
      </c>
      <c r="P385" t="s">
        <v>432</v>
      </c>
    </row>
    <row r="386" spans="1:16">
      <c r="A386" t="s">
        <v>15</v>
      </c>
      <c r="B386">
        <v>274</v>
      </c>
      <c r="C386">
        <v>8877</v>
      </c>
      <c r="D386" t="s">
        <v>433</v>
      </c>
      <c r="E386" t="s">
        <v>46</v>
      </c>
      <c r="F386">
        <v>0</v>
      </c>
      <c r="H386">
        <v>0</v>
      </c>
      <c r="I386">
        <v>0</v>
      </c>
      <c r="K386">
        <v>0</v>
      </c>
      <c r="L386">
        <v>-19407000</v>
      </c>
      <c r="N386">
        <v>19407000</v>
      </c>
    </row>
    <row r="387" spans="1:16">
      <c r="A387" t="s">
        <v>15</v>
      </c>
      <c r="B387">
        <v>274</v>
      </c>
      <c r="C387">
        <v>8957</v>
      </c>
      <c r="D387" t="s">
        <v>434</v>
      </c>
      <c r="E387" t="s">
        <v>17</v>
      </c>
      <c r="F387">
        <v>-18762000</v>
      </c>
      <c r="H387">
        <v>0</v>
      </c>
      <c r="I387">
        <v>0</v>
      </c>
      <c r="K387">
        <v>0</v>
      </c>
      <c r="L387">
        <v>-13528678.23</v>
      </c>
      <c r="N387">
        <v>-5233321.7699999996</v>
      </c>
      <c r="P387" t="s">
        <v>435</v>
      </c>
    </row>
    <row r="388" spans="1:16">
      <c r="A388" t="s">
        <v>15</v>
      </c>
      <c r="B388">
        <v>274</v>
      </c>
      <c r="C388">
        <v>8959</v>
      </c>
      <c r="D388" t="s">
        <v>436</v>
      </c>
      <c r="E388" t="s">
        <v>17</v>
      </c>
      <c r="F388">
        <v>-500000</v>
      </c>
      <c r="H388">
        <v>0</v>
      </c>
      <c r="I388">
        <v>0</v>
      </c>
      <c r="K388">
        <v>0</v>
      </c>
      <c r="L388">
        <v>-428689.67</v>
      </c>
      <c r="N388">
        <v>-71310.33</v>
      </c>
      <c r="P388" t="s">
        <v>437</v>
      </c>
    </row>
    <row r="389" spans="1:16">
      <c r="A389" t="s">
        <v>15</v>
      </c>
      <c r="B389">
        <v>274</v>
      </c>
      <c r="C389">
        <v>8962</v>
      </c>
      <c r="D389" t="s">
        <v>438</v>
      </c>
      <c r="E389" t="s">
        <v>17</v>
      </c>
      <c r="F389">
        <v>0</v>
      </c>
      <c r="H389">
        <v>0</v>
      </c>
      <c r="I389">
        <v>0</v>
      </c>
      <c r="K389">
        <v>0</v>
      </c>
      <c r="L389">
        <v>-5517.54</v>
      </c>
      <c r="N389">
        <v>5517.54</v>
      </c>
      <c r="P389" t="s">
        <v>439</v>
      </c>
    </row>
    <row r="390" spans="1:16">
      <c r="A390" t="s">
        <v>15</v>
      </c>
      <c r="B390">
        <v>274</v>
      </c>
      <c r="C390">
        <v>8973</v>
      </c>
      <c r="D390" t="s">
        <v>440</v>
      </c>
      <c r="E390" t="s">
        <v>46</v>
      </c>
      <c r="F390">
        <v>-700</v>
      </c>
      <c r="H390">
        <v>0</v>
      </c>
      <c r="I390">
        <v>0</v>
      </c>
      <c r="K390">
        <v>0</v>
      </c>
      <c r="L390">
        <v>-682.34</v>
      </c>
      <c r="N390">
        <v>-17.66</v>
      </c>
      <c r="P390" t="s">
        <v>441</v>
      </c>
    </row>
    <row r="391" spans="1:16">
      <c r="A391" t="s">
        <v>15</v>
      </c>
      <c r="B391">
        <v>274</v>
      </c>
      <c r="C391">
        <v>9015</v>
      </c>
      <c r="D391" t="s">
        <v>442</v>
      </c>
      <c r="E391" t="s">
        <v>46</v>
      </c>
      <c r="F391">
        <v>-13000</v>
      </c>
      <c r="H391">
        <v>0</v>
      </c>
      <c r="I391">
        <v>0</v>
      </c>
      <c r="K391">
        <v>0</v>
      </c>
      <c r="L391">
        <v>-6361.67</v>
      </c>
      <c r="N391">
        <v>-6638.33</v>
      </c>
      <c r="P391" t="s">
        <v>443</v>
      </c>
    </row>
    <row r="392" spans="1:16">
      <c r="A392" t="s">
        <v>15</v>
      </c>
      <c r="B392">
        <v>274</v>
      </c>
      <c r="C392">
        <v>9041</v>
      </c>
      <c r="D392" t="s">
        <v>444</v>
      </c>
      <c r="E392" t="s">
        <v>46</v>
      </c>
      <c r="F392">
        <v>-550</v>
      </c>
      <c r="H392">
        <v>0</v>
      </c>
      <c r="I392">
        <v>0</v>
      </c>
      <c r="K392">
        <v>0</v>
      </c>
      <c r="L392">
        <v>-408.8</v>
      </c>
      <c r="N392">
        <v>-141.19999999999999</v>
      </c>
      <c r="P392" t="s">
        <v>445</v>
      </c>
    </row>
    <row r="393" spans="1:16">
      <c r="A393" t="s">
        <v>15</v>
      </c>
      <c r="B393">
        <v>274</v>
      </c>
      <c r="C393">
        <v>600302</v>
      </c>
      <c r="D393" t="s">
        <v>446</v>
      </c>
      <c r="E393" t="s">
        <v>17</v>
      </c>
      <c r="F393">
        <v>0</v>
      </c>
      <c r="H393">
        <v>0</v>
      </c>
      <c r="I393">
        <v>0</v>
      </c>
      <c r="K393">
        <v>7138.04</v>
      </c>
      <c r="L393">
        <v>0</v>
      </c>
      <c r="N393">
        <v>-7138.04</v>
      </c>
    </row>
    <row r="394" spans="1:16">
      <c r="C394" t="s">
        <v>447</v>
      </c>
      <c r="D394" t="s">
        <v>448</v>
      </c>
      <c r="F394" t="s">
        <v>52</v>
      </c>
      <c r="G394">
        <v>-10021365.529999999</v>
      </c>
      <c r="I394">
        <v>0</v>
      </c>
      <c r="J394">
        <v>0</v>
      </c>
      <c r="L394">
        <v>30926802.59</v>
      </c>
      <c r="M394">
        <v>-117106989.42</v>
      </c>
      <c r="O394">
        <v>76158821.299999997</v>
      </c>
    </row>
    <row r="395" spans="1:16">
      <c r="H395" t="s">
        <v>53</v>
      </c>
      <c r="I395">
        <v>0</v>
      </c>
      <c r="K395" t="s">
        <v>54</v>
      </c>
      <c r="L395">
        <v>-86180186.829999998</v>
      </c>
    </row>
    <row r="397" spans="1:16">
      <c r="A397" t="s">
        <v>15</v>
      </c>
      <c r="B397">
        <v>275</v>
      </c>
      <c r="C397">
        <v>1</v>
      </c>
      <c r="D397" t="s">
        <v>16</v>
      </c>
      <c r="E397" t="s">
        <v>17</v>
      </c>
      <c r="F397">
        <v>3667667.58</v>
      </c>
      <c r="H397">
        <v>0</v>
      </c>
      <c r="I397">
        <v>0</v>
      </c>
      <c r="K397">
        <v>2655614.5299999998</v>
      </c>
      <c r="L397">
        <v>0</v>
      </c>
      <c r="N397">
        <v>1012053.05</v>
      </c>
      <c r="P397" t="s">
        <v>449</v>
      </c>
    </row>
    <row r="398" spans="1:16">
      <c r="A398" t="s">
        <v>15</v>
      </c>
      <c r="B398">
        <v>275</v>
      </c>
      <c r="C398">
        <v>3</v>
      </c>
      <c r="D398" t="s">
        <v>125</v>
      </c>
      <c r="E398" t="s">
        <v>17</v>
      </c>
      <c r="F398">
        <v>110656.24</v>
      </c>
      <c r="H398">
        <v>0</v>
      </c>
      <c r="I398">
        <v>0</v>
      </c>
      <c r="K398">
        <v>77500.02</v>
      </c>
      <c r="L398">
        <v>0</v>
      </c>
      <c r="N398">
        <v>33156.22</v>
      </c>
    </row>
    <row r="399" spans="1:16">
      <c r="A399" t="s">
        <v>15</v>
      </c>
      <c r="B399">
        <v>275</v>
      </c>
      <c r="C399">
        <v>4</v>
      </c>
      <c r="D399" t="s">
        <v>58</v>
      </c>
      <c r="E399" t="s">
        <v>17</v>
      </c>
      <c r="F399">
        <v>9459.32</v>
      </c>
      <c r="H399">
        <v>0</v>
      </c>
      <c r="I399">
        <v>0</v>
      </c>
      <c r="K399">
        <v>7166.4</v>
      </c>
      <c r="L399">
        <v>0</v>
      </c>
      <c r="N399">
        <v>2292.92</v>
      </c>
      <c r="P399" t="s">
        <v>450</v>
      </c>
    </row>
    <row r="400" spans="1:16">
      <c r="A400" t="s">
        <v>15</v>
      </c>
      <c r="B400">
        <v>275</v>
      </c>
      <c r="C400">
        <v>6</v>
      </c>
      <c r="D400" t="s">
        <v>19</v>
      </c>
      <c r="E400" t="s">
        <v>17</v>
      </c>
      <c r="F400">
        <v>109663.2</v>
      </c>
      <c r="H400">
        <v>0</v>
      </c>
      <c r="I400">
        <v>0</v>
      </c>
      <c r="K400">
        <v>83895.6</v>
      </c>
      <c r="L400">
        <v>0</v>
      </c>
      <c r="N400">
        <v>25767.599999999999</v>
      </c>
      <c r="P400" t="s">
        <v>451</v>
      </c>
    </row>
    <row r="401" spans="1:16">
      <c r="A401" t="s">
        <v>15</v>
      </c>
      <c r="B401">
        <v>275</v>
      </c>
      <c r="C401">
        <v>8</v>
      </c>
      <c r="D401" t="s">
        <v>173</v>
      </c>
      <c r="E401" t="s">
        <v>17</v>
      </c>
      <c r="F401">
        <v>308487.15999999997</v>
      </c>
      <c r="H401">
        <v>0</v>
      </c>
      <c r="I401">
        <v>0</v>
      </c>
      <c r="K401">
        <v>251900.25</v>
      </c>
      <c r="L401">
        <v>0</v>
      </c>
      <c r="N401">
        <v>56586.91</v>
      </c>
      <c r="P401" t="s">
        <v>452</v>
      </c>
    </row>
    <row r="402" spans="1:16">
      <c r="A402" t="s">
        <v>15</v>
      </c>
      <c r="B402">
        <v>275</v>
      </c>
      <c r="C402">
        <v>10</v>
      </c>
      <c r="D402" t="s">
        <v>22</v>
      </c>
      <c r="E402" t="s">
        <v>17</v>
      </c>
      <c r="F402">
        <v>544397.18000000005</v>
      </c>
      <c r="H402">
        <v>0</v>
      </c>
      <c r="I402">
        <v>0</v>
      </c>
      <c r="K402">
        <v>399968.63</v>
      </c>
      <c r="L402">
        <v>0</v>
      </c>
      <c r="N402">
        <v>144428.54999999999</v>
      </c>
      <c r="P402" t="s">
        <v>453</v>
      </c>
    </row>
    <row r="403" spans="1:16">
      <c r="A403" t="s">
        <v>15</v>
      </c>
      <c r="B403">
        <v>275</v>
      </c>
      <c r="C403">
        <v>13</v>
      </c>
      <c r="D403" t="s">
        <v>273</v>
      </c>
      <c r="E403" t="s">
        <v>17</v>
      </c>
      <c r="F403">
        <v>46642.9</v>
      </c>
      <c r="H403">
        <v>0</v>
      </c>
      <c r="I403">
        <v>0</v>
      </c>
      <c r="K403">
        <v>34594.29</v>
      </c>
      <c r="L403">
        <v>0</v>
      </c>
      <c r="N403">
        <v>12048.61</v>
      </c>
      <c r="P403" t="s">
        <v>454</v>
      </c>
    </row>
    <row r="404" spans="1:16">
      <c r="A404" t="s">
        <v>15</v>
      </c>
      <c r="B404">
        <v>275</v>
      </c>
      <c r="C404">
        <v>14</v>
      </c>
      <c r="D404" t="s">
        <v>25</v>
      </c>
      <c r="E404" t="s">
        <v>17</v>
      </c>
      <c r="F404">
        <v>106428</v>
      </c>
      <c r="H404">
        <v>0</v>
      </c>
      <c r="I404">
        <v>0</v>
      </c>
      <c r="K404">
        <v>78821</v>
      </c>
      <c r="L404">
        <v>0</v>
      </c>
      <c r="N404">
        <v>27607</v>
      </c>
      <c r="P404" t="s">
        <v>455</v>
      </c>
    </row>
    <row r="405" spans="1:16">
      <c r="A405" t="s">
        <v>15</v>
      </c>
      <c r="B405">
        <v>275</v>
      </c>
      <c r="C405">
        <v>16</v>
      </c>
      <c r="D405" t="s">
        <v>27</v>
      </c>
      <c r="E405" t="s">
        <v>17</v>
      </c>
      <c r="F405">
        <v>38053.68</v>
      </c>
      <c r="H405">
        <v>0</v>
      </c>
      <c r="I405">
        <v>0</v>
      </c>
      <c r="K405">
        <v>27963.88</v>
      </c>
      <c r="L405">
        <v>0</v>
      </c>
      <c r="N405">
        <v>10089.799999999999</v>
      </c>
      <c r="P405" t="s">
        <v>456</v>
      </c>
    </row>
    <row r="406" spans="1:16">
      <c r="A406" t="s">
        <v>15</v>
      </c>
      <c r="B406">
        <v>275</v>
      </c>
      <c r="C406">
        <v>17</v>
      </c>
      <c r="D406" t="s">
        <v>29</v>
      </c>
      <c r="E406" t="s">
        <v>17</v>
      </c>
      <c r="F406">
        <v>40800.400000000001</v>
      </c>
      <c r="H406">
        <v>0</v>
      </c>
      <c r="I406">
        <v>0</v>
      </c>
      <c r="K406">
        <v>29162.2</v>
      </c>
      <c r="L406">
        <v>0</v>
      </c>
      <c r="N406">
        <v>11638.2</v>
      </c>
      <c r="P406" t="s">
        <v>457</v>
      </c>
    </row>
    <row r="407" spans="1:16">
      <c r="A407" t="s">
        <v>15</v>
      </c>
      <c r="B407">
        <v>275</v>
      </c>
      <c r="C407">
        <v>18</v>
      </c>
      <c r="D407" t="s">
        <v>31</v>
      </c>
      <c r="E407" t="s">
        <v>17</v>
      </c>
      <c r="F407">
        <v>210070.92</v>
      </c>
      <c r="H407">
        <v>0</v>
      </c>
      <c r="I407">
        <v>0</v>
      </c>
      <c r="K407">
        <v>190859.63</v>
      </c>
      <c r="L407">
        <v>0</v>
      </c>
      <c r="N407">
        <v>19211.29</v>
      </c>
      <c r="P407" t="s">
        <v>458</v>
      </c>
    </row>
    <row r="408" spans="1:16">
      <c r="A408" t="s">
        <v>15</v>
      </c>
      <c r="B408">
        <v>275</v>
      </c>
      <c r="C408">
        <v>102</v>
      </c>
      <c r="D408" t="s">
        <v>66</v>
      </c>
      <c r="E408" t="s">
        <v>17</v>
      </c>
      <c r="F408">
        <v>43927.96</v>
      </c>
      <c r="H408">
        <v>0</v>
      </c>
      <c r="I408">
        <v>0</v>
      </c>
      <c r="K408">
        <v>32495.93</v>
      </c>
      <c r="L408">
        <v>0</v>
      </c>
      <c r="N408">
        <v>11432.03</v>
      </c>
      <c r="P408" t="s">
        <v>459</v>
      </c>
    </row>
    <row r="409" spans="1:16">
      <c r="A409" t="s">
        <v>15</v>
      </c>
      <c r="B409">
        <v>275</v>
      </c>
      <c r="C409">
        <v>104</v>
      </c>
      <c r="D409" t="s">
        <v>34</v>
      </c>
      <c r="E409" t="s">
        <v>17</v>
      </c>
      <c r="F409">
        <v>2952.44</v>
      </c>
      <c r="H409">
        <v>0</v>
      </c>
      <c r="I409">
        <v>0</v>
      </c>
      <c r="K409">
        <v>2150.7800000000002</v>
      </c>
      <c r="L409">
        <v>0</v>
      </c>
      <c r="N409">
        <v>801.66</v>
      </c>
      <c r="P409" t="s">
        <v>460</v>
      </c>
    </row>
    <row r="410" spans="1:16">
      <c r="A410" t="s">
        <v>15</v>
      </c>
      <c r="B410">
        <v>275</v>
      </c>
      <c r="C410">
        <v>123</v>
      </c>
      <c r="D410" t="s">
        <v>187</v>
      </c>
      <c r="E410" t="s">
        <v>17</v>
      </c>
      <c r="F410">
        <v>652000</v>
      </c>
      <c r="H410">
        <v>0</v>
      </c>
      <c r="I410">
        <v>0</v>
      </c>
      <c r="K410">
        <v>424715.98</v>
      </c>
      <c r="L410">
        <v>0</v>
      </c>
      <c r="N410">
        <v>227284.02</v>
      </c>
      <c r="P410" t="s">
        <v>461</v>
      </c>
    </row>
    <row r="411" spans="1:16">
      <c r="A411" t="s">
        <v>15</v>
      </c>
      <c r="B411">
        <v>275</v>
      </c>
      <c r="C411">
        <v>175</v>
      </c>
      <c r="D411" t="s">
        <v>195</v>
      </c>
      <c r="E411" t="s">
        <v>17</v>
      </c>
      <c r="F411">
        <v>105000</v>
      </c>
      <c r="H411">
        <v>0</v>
      </c>
      <c r="I411">
        <v>0</v>
      </c>
      <c r="K411">
        <v>34872.370000000003</v>
      </c>
      <c r="L411">
        <v>0</v>
      </c>
      <c r="N411">
        <v>70127.63</v>
      </c>
      <c r="P411" t="s">
        <v>462</v>
      </c>
    </row>
    <row r="412" spans="1:16">
      <c r="A412" t="s">
        <v>15</v>
      </c>
      <c r="B412">
        <v>275</v>
      </c>
      <c r="C412">
        <v>193</v>
      </c>
      <c r="D412" t="s">
        <v>463</v>
      </c>
      <c r="E412" t="s">
        <v>17</v>
      </c>
      <c r="F412">
        <v>1502713</v>
      </c>
      <c r="H412">
        <v>0</v>
      </c>
      <c r="I412">
        <v>0</v>
      </c>
      <c r="K412">
        <v>12471.45</v>
      </c>
      <c r="L412">
        <v>0</v>
      </c>
      <c r="N412">
        <v>1490241.55</v>
      </c>
    </row>
    <row r="413" spans="1:16">
      <c r="A413" t="s">
        <v>15</v>
      </c>
      <c r="B413">
        <v>275</v>
      </c>
      <c r="C413">
        <v>195</v>
      </c>
      <c r="D413" t="s">
        <v>38</v>
      </c>
      <c r="E413" t="s">
        <v>17</v>
      </c>
      <c r="F413">
        <v>40000</v>
      </c>
      <c r="H413">
        <v>0</v>
      </c>
      <c r="I413">
        <v>0</v>
      </c>
      <c r="K413">
        <v>2302.12</v>
      </c>
      <c r="L413">
        <v>0</v>
      </c>
      <c r="N413">
        <v>37697.879999999997</v>
      </c>
      <c r="P413" t="s">
        <v>464</v>
      </c>
    </row>
    <row r="414" spans="1:16">
      <c r="A414" t="s">
        <v>15</v>
      </c>
      <c r="B414">
        <v>275</v>
      </c>
      <c r="C414">
        <v>204</v>
      </c>
      <c r="D414" t="s">
        <v>42</v>
      </c>
      <c r="E414" t="s">
        <v>17</v>
      </c>
      <c r="F414">
        <v>20000</v>
      </c>
      <c r="H414">
        <v>0</v>
      </c>
      <c r="I414">
        <v>0</v>
      </c>
      <c r="K414">
        <v>29019.77</v>
      </c>
      <c r="L414">
        <v>0</v>
      </c>
      <c r="N414">
        <v>-9019.77</v>
      </c>
      <c r="P414" t="s">
        <v>465</v>
      </c>
    </row>
    <row r="415" spans="1:16">
      <c r="A415" t="s">
        <v>15</v>
      </c>
      <c r="B415">
        <v>275</v>
      </c>
      <c r="C415">
        <v>210</v>
      </c>
      <c r="D415" t="s">
        <v>44</v>
      </c>
      <c r="E415" t="s">
        <v>17</v>
      </c>
      <c r="F415">
        <v>47215892.200000003</v>
      </c>
      <c r="H415">
        <v>0</v>
      </c>
      <c r="I415">
        <v>0</v>
      </c>
      <c r="K415">
        <v>0</v>
      </c>
      <c r="L415">
        <v>0</v>
      </c>
      <c r="N415">
        <v>47215892.200000003</v>
      </c>
    </row>
    <row r="416" spans="1:16">
      <c r="A416" t="s">
        <v>15</v>
      </c>
      <c r="B416">
        <v>275</v>
      </c>
      <c r="C416">
        <v>240</v>
      </c>
      <c r="D416" t="s">
        <v>466</v>
      </c>
      <c r="E416" t="s">
        <v>17</v>
      </c>
      <c r="F416">
        <v>689200</v>
      </c>
      <c r="H416">
        <v>0</v>
      </c>
      <c r="I416">
        <v>0</v>
      </c>
      <c r="K416">
        <v>189200</v>
      </c>
      <c r="L416">
        <v>0</v>
      </c>
      <c r="N416">
        <v>500000</v>
      </c>
      <c r="P416" t="s">
        <v>467</v>
      </c>
    </row>
    <row r="417" spans="1:16">
      <c r="A417" t="s">
        <v>15</v>
      </c>
      <c r="B417">
        <v>275</v>
      </c>
      <c r="C417">
        <v>243</v>
      </c>
      <c r="D417" t="s">
        <v>408</v>
      </c>
      <c r="E417" t="s">
        <v>17</v>
      </c>
      <c r="F417">
        <v>13000</v>
      </c>
      <c r="H417">
        <v>0</v>
      </c>
      <c r="I417">
        <v>0</v>
      </c>
      <c r="K417">
        <v>2485.52</v>
      </c>
      <c r="L417">
        <v>0</v>
      </c>
      <c r="N417">
        <v>10514.48</v>
      </c>
    </row>
    <row r="418" spans="1:16">
      <c r="A418" t="s">
        <v>15</v>
      </c>
      <c r="B418">
        <v>275</v>
      </c>
      <c r="C418">
        <v>244</v>
      </c>
      <c r="D418" t="s">
        <v>468</v>
      </c>
      <c r="E418" t="s">
        <v>17</v>
      </c>
      <c r="F418">
        <v>1328600</v>
      </c>
      <c r="H418">
        <v>0</v>
      </c>
      <c r="I418">
        <v>0</v>
      </c>
      <c r="K418">
        <v>117810.6</v>
      </c>
      <c r="L418">
        <v>0</v>
      </c>
      <c r="N418">
        <v>1210789.3999999999</v>
      </c>
    </row>
    <row r="419" spans="1:16">
      <c r="A419" t="s">
        <v>15</v>
      </c>
      <c r="B419">
        <v>275</v>
      </c>
      <c r="C419">
        <v>280</v>
      </c>
      <c r="D419" t="s">
        <v>469</v>
      </c>
      <c r="E419" t="s">
        <v>17</v>
      </c>
      <c r="F419">
        <v>300000</v>
      </c>
      <c r="H419">
        <v>0</v>
      </c>
      <c r="I419">
        <v>0</v>
      </c>
      <c r="K419">
        <v>0</v>
      </c>
      <c r="L419">
        <v>0</v>
      </c>
      <c r="N419">
        <v>300000</v>
      </c>
    </row>
    <row r="420" spans="1:16">
      <c r="A420" t="s">
        <v>15</v>
      </c>
      <c r="B420">
        <v>275</v>
      </c>
      <c r="C420">
        <v>284</v>
      </c>
      <c r="D420" t="s">
        <v>221</v>
      </c>
      <c r="E420" t="s">
        <v>17</v>
      </c>
      <c r="F420">
        <v>318000</v>
      </c>
      <c r="H420">
        <v>0</v>
      </c>
      <c r="I420">
        <v>0</v>
      </c>
      <c r="K420">
        <v>410691.14</v>
      </c>
      <c r="L420">
        <v>0</v>
      </c>
      <c r="N420">
        <v>-92691.14</v>
      </c>
      <c r="P420" t="s">
        <v>470</v>
      </c>
    </row>
    <row r="421" spans="1:16">
      <c r="A421" t="s">
        <v>15</v>
      </c>
      <c r="B421">
        <v>275</v>
      </c>
      <c r="C421">
        <v>285</v>
      </c>
      <c r="D421" t="s">
        <v>471</v>
      </c>
      <c r="E421" t="s">
        <v>17</v>
      </c>
      <c r="F421">
        <v>1791000</v>
      </c>
      <c r="H421">
        <v>0</v>
      </c>
      <c r="I421">
        <v>0</v>
      </c>
      <c r="K421">
        <v>1145765.24</v>
      </c>
      <c r="L421">
        <v>0</v>
      </c>
      <c r="N421">
        <v>645234.76</v>
      </c>
      <c r="P421" t="s">
        <v>472</v>
      </c>
    </row>
    <row r="422" spans="1:16">
      <c r="A422" t="s">
        <v>15</v>
      </c>
      <c r="B422">
        <v>275</v>
      </c>
      <c r="C422">
        <v>286</v>
      </c>
      <c r="D422" t="s">
        <v>473</v>
      </c>
      <c r="E422" t="s">
        <v>17</v>
      </c>
      <c r="F422">
        <v>100000</v>
      </c>
      <c r="H422">
        <v>0</v>
      </c>
      <c r="I422">
        <v>0</v>
      </c>
      <c r="K422">
        <v>0</v>
      </c>
      <c r="L422">
        <v>0</v>
      </c>
      <c r="N422">
        <v>100000</v>
      </c>
      <c r="P422" t="s">
        <v>474</v>
      </c>
    </row>
    <row r="423" spans="1:16">
      <c r="A423" t="s">
        <v>15</v>
      </c>
      <c r="B423">
        <v>275</v>
      </c>
      <c r="C423">
        <v>290</v>
      </c>
      <c r="D423" t="s">
        <v>223</v>
      </c>
      <c r="E423" t="s">
        <v>17</v>
      </c>
      <c r="F423">
        <v>0</v>
      </c>
      <c r="H423">
        <v>0</v>
      </c>
      <c r="I423">
        <v>0</v>
      </c>
      <c r="K423">
        <v>342000</v>
      </c>
      <c r="L423">
        <v>0</v>
      </c>
      <c r="N423">
        <v>-342000</v>
      </c>
    </row>
    <row r="424" spans="1:16">
      <c r="A424" t="s">
        <v>15</v>
      </c>
      <c r="B424">
        <v>275</v>
      </c>
      <c r="C424">
        <v>293</v>
      </c>
      <c r="D424" t="s">
        <v>475</v>
      </c>
      <c r="E424" t="s">
        <v>17</v>
      </c>
      <c r="F424">
        <v>387000</v>
      </c>
      <c r="H424">
        <v>0</v>
      </c>
      <c r="I424">
        <v>0</v>
      </c>
      <c r="K424">
        <v>63806</v>
      </c>
      <c r="L424">
        <v>0</v>
      </c>
      <c r="N424">
        <v>323194</v>
      </c>
      <c r="P424" t="s">
        <v>476</v>
      </c>
    </row>
    <row r="425" spans="1:16">
      <c r="A425" t="s">
        <v>15</v>
      </c>
      <c r="B425">
        <v>275</v>
      </c>
      <c r="C425">
        <v>295</v>
      </c>
      <c r="D425" t="s">
        <v>477</v>
      </c>
      <c r="E425" t="s">
        <v>17</v>
      </c>
      <c r="F425">
        <v>500000</v>
      </c>
      <c r="H425">
        <v>0</v>
      </c>
      <c r="I425">
        <v>0</v>
      </c>
      <c r="K425">
        <v>110950</v>
      </c>
      <c r="L425">
        <v>0</v>
      </c>
      <c r="N425">
        <v>389050</v>
      </c>
      <c r="P425" t="s">
        <v>478</v>
      </c>
    </row>
    <row r="426" spans="1:16">
      <c r="A426" t="s">
        <v>15</v>
      </c>
      <c r="B426">
        <v>275</v>
      </c>
      <c r="C426">
        <v>348</v>
      </c>
      <c r="D426" t="s">
        <v>479</v>
      </c>
      <c r="E426" t="s">
        <v>17</v>
      </c>
      <c r="F426">
        <v>840241.41</v>
      </c>
      <c r="H426">
        <v>0</v>
      </c>
      <c r="I426">
        <v>0</v>
      </c>
      <c r="K426">
        <v>456140.35</v>
      </c>
      <c r="L426">
        <v>0</v>
      </c>
      <c r="N426">
        <v>384101.06</v>
      </c>
      <c r="P426" t="s">
        <v>480</v>
      </c>
    </row>
    <row r="427" spans="1:16">
      <c r="A427" t="s">
        <v>15</v>
      </c>
      <c r="B427">
        <v>275</v>
      </c>
      <c r="C427">
        <v>350</v>
      </c>
      <c r="D427" t="s">
        <v>481</v>
      </c>
      <c r="E427" t="s">
        <v>17</v>
      </c>
      <c r="F427">
        <v>531965.06999999995</v>
      </c>
      <c r="H427">
        <v>0</v>
      </c>
      <c r="I427">
        <v>0</v>
      </c>
      <c r="K427">
        <v>444546.04</v>
      </c>
      <c r="L427">
        <v>0</v>
      </c>
      <c r="N427">
        <v>87419.03</v>
      </c>
    </row>
    <row r="428" spans="1:16">
      <c r="A428" t="s">
        <v>15</v>
      </c>
      <c r="B428">
        <v>275</v>
      </c>
      <c r="C428">
        <v>352</v>
      </c>
      <c r="D428" t="s">
        <v>482</v>
      </c>
      <c r="E428" t="s">
        <v>17</v>
      </c>
      <c r="F428">
        <v>0</v>
      </c>
      <c r="H428">
        <v>0</v>
      </c>
      <c r="I428">
        <v>0</v>
      </c>
      <c r="K428">
        <v>4032607.98</v>
      </c>
      <c r="L428">
        <v>0</v>
      </c>
      <c r="N428">
        <v>-4032607.98</v>
      </c>
    </row>
    <row r="429" spans="1:16">
      <c r="A429" t="s">
        <v>15</v>
      </c>
      <c r="B429">
        <v>275</v>
      </c>
      <c r="C429">
        <v>458</v>
      </c>
      <c r="D429" t="s">
        <v>483</v>
      </c>
      <c r="E429" t="s">
        <v>17</v>
      </c>
      <c r="F429">
        <v>9345618.9399999995</v>
      </c>
      <c r="H429">
        <v>0</v>
      </c>
      <c r="I429">
        <v>0</v>
      </c>
      <c r="K429">
        <v>0</v>
      </c>
      <c r="L429">
        <v>0</v>
      </c>
      <c r="N429">
        <v>9345618.9399999995</v>
      </c>
    </row>
    <row r="430" spans="1:16">
      <c r="A430" t="s">
        <v>15</v>
      </c>
      <c r="B430">
        <v>275</v>
      </c>
      <c r="C430">
        <v>461</v>
      </c>
      <c r="D430" t="s">
        <v>484</v>
      </c>
      <c r="E430" t="s">
        <v>17</v>
      </c>
      <c r="F430">
        <v>600000</v>
      </c>
      <c r="H430">
        <v>0</v>
      </c>
      <c r="I430">
        <v>0</v>
      </c>
      <c r="K430">
        <v>253255.14</v>
      </c>
      <c r="L430">
        <v>0</v>
      </c>
      <c r="N430">
        <v>346744.86</v>
      </c>
      <c r="P430" t="s">
        <v>485</v>
      </c>
    </row>
    <row r="431" spans="1:16">
      <c r="A431" t="s">
        <v>15</v>
      </c>
      <c r="B431">
        <v>275</v>
      </c>
      <c r="C431">
        <v>8822</v>
      </c>
      <c r="D431" t="s">
        <v>486</v>
      </c>
      <c r="E431" t="s">
        <v>46</v>
      </c>
      <c r="F431">
        <v>0</v>
      </c>
      <c r="H431">
        <v>0</v>
      </c>
      <c r="I431">
        <v>0</v>
      </c>
      <c r="K431">
        <v>0</v>
      </c>
      <c r="L431">
        <v>-964.92</v>
      </c>
      <c r="N431">
        <v>964.92</v>
      </c>
      <c r="P431" t="s">
        <v>487</v>
      </c>
    </row>
    <row r="432" spans="1:16">
      <c r="A432" t="s">
        <v>15</v>
      </c>
      <c r="B432">
        <v>275</v>
      </c>
      <c r="C432">
        <v>8877</v>
      </c>
      <c r="D432" t="s">
        <v>147</v>
      </c>
      <c r="E432" t="s">
        <v>46</v>
      </c>
      <c r="F432">
        <v>-10717825.42</v>
      </c>
      <c r="H432">
        <v>0</v>
      </c>
      <c r="I432">
        <v>0</v>
      </c>
      <c r="K432">
        <v>0</v>
      </c>
      <c r="L432">
        <v>0</v>
      </c>
      <c r="N432">
        <v>-10717825.42</v>
      </c>
    </row>
    <row r="433" spans="1:16">
      <c r="C433" t="s">
        <v>488</v>
      </c>
      <c r="D433" t="s">
        <v>489</v>
      </c>
      <c r="F433" t="s">
        <v>52</v>
      </c>
      <c r="G433">
        <v>60801612.18</v>
      </c>
      <c r="I433">
        <v>0</v>
      </c>
      <c r="J433">
        <v>0</v>
      </c>
      <c r="L433">
        <v>11944732.84</v>
      </c>
      <c r="M433">
        <v>-964.92</v>
      </c>
      <c r="O433">
        <v>48857844.259999998</v>
      </c>
    </row>
    <row r="434" spans="1:16">
      <c r="H434" t="s">
        <v>53</v>
      </c>
      <c r="I434">
        <v>0</v>
      </c>
      <c r="K434" t="s">
        <v>54</v>
      </c>
      <c r="L434">
        <v>11943767.92</v>
      </c>
    </row>
    <row r="436" spans="1:16">
      <c r="A436" t="s">
        <v>15</v>
      </c>
      <c r="B436">
        <v>276</v>
      </c>
      <c r="C436">
        <v>8842</v>
      </c>
      <c r="D436" t="s">
        <v>490</v>
      </c>
      <c r="E436" t="s">
        <v>46</v>
      </c>
      <c r="F436">
        <v>0</v>
      </c>
      <c r="H436">
        <v>0</v>
      </c>
      <c r="I436">
        <v>0</v>
      </c>
      <c r="K436">
        <v>12502052.93</v>
      </c>
      <c r="L436">
        <v>0</v>
      </c>
      <c r="N436">
        <v>-12502052.93</v>
      </c>
      <c r="P436" t="s">
        <v>491</v>
      </c>
    </row>
    <row r="437" spans="1:16">
      <c r="C437" t="s">
        <v>492</v>
      </c>
      <c r="D437" t="s">
        <v>493</v>
      </c>
      <c r="F437" t="s">
        <v>52</v>
      </c>
      <c r="G437">
        <v>0</v>
      </c>
      <c r="I437">
        <v>0</v>
      </c>
      <c r="J437">
        <v>0</v>
      </c>
      <c r="L437">
        <v>12502052.93</v>
      </c>
      <c r="M437">
        <v>0</v>
      </c>
      <c r="O437">
        <v>-12502052.93</v>
      </c>
    </row>
    <row r="438" spans="1:16">
      <c r="H438" t="s">
        <v>53</v>
      </c>
      <c r="I438">
        <v>0</v>
      </c>
      <c r="K438" t="s">
        <v>54</v>
      </c>
      <c r="L438">
        <v>12502052.93</v>
      </c>
    </row>
    <row r="440" spans="1:16">
      <c r="A440" t="s">
        <v>15</v>
      </c>
      <c r="B440">
        <v>281</v>
      </c>
      <c r="C440">
        <v>1</v>
      </c>
      <c r="D440" t="s">
        <v>16</v>
      </c>
      <c r="E440" t="s">
        <v>17</v>
      </c>
      <c r="F440">
        <v>1621621.1</v>
      </c>
      <c r="H440">
        <v>0</v>
      </c>
      <c r="I440">
        <v>0</v>
      </c>
      <c r="K440">
        <v>1144079.99</v>
      </c>
      <c r="L440">
        <v>0</v>
      </c>
      <c r="N440">
        <v>477541.11</v>
      </c>
      <c r="P440" t="s">
        <v>494</v>
      </c>
    </row>
    <row r="441" spans="1:16">
      <c r="A441" t="s">
        <v>15</v>
      </c>
      <c r="B441">
        <v>281</v>
      </c>
      <c r="C441">
        <v>4</v>
      </c>
      <c r="D441" t="s">
        <v>58</v>
      </c>
      <c r="E441" t="s">
        <v>17</v>
      </c>
      <c r="F441">
        <v>35449.33</v>
      </c>
      <c r="H441">
        <v>0</v>
      </c>
      <c r="I441">
        <v>0</v>
      </c>
      <c r="K441">
        <v>0</v>
      </c>
      <c r="L441">
        <v>0</v>
      </c>
      <c r="N441">
        <v>35449.33</v>
      </c>
      <c r="P441" t="s">
        <v>495</v>
      </c>
    </row>
    <row r="442" spans="1:16">
      <c r="A442" t="s">
        <v>15</v>
      </c>
      <c r="B442">
        <v>281</v>
      </c>
      <c r="C442">
        <v>6</v>
      </c>
      <c r="D442" t="s">
        <v>19</v>
      </c>
      <c r="E442" t="s">
        <v>17</v>
      </c>
      <c r="F442">
        <v>123708</v>
      </c>
      <c r="H442">
        <v>0</v>
      </c>
      <c r="I442">
        <v>0</v>
      </c>
      <c r="K442">
        <v>88263.6</v>
      </c>
      <c r="L442">
        <v>0</v>
      </c>
      <c r="N442">
        <v>35444.400000000001</v>
      </c>
      <c r="P442" t="s">
        <v>496</v>
      </c>
    </row>
    <row r="443" spans="1:16">
      <c r="A443" t="s">
        <v>15</v>
      </c>
      <c r="B443">
        <v>281</v>
      </c>
      <c r="C443">
        <v>8</v>
      </c>
      <c r="D443" t="s">
        <v>173</v>
      </c>
      <c r="E443" t="s">
        <v>17</v>
      </c>
      <c r="F443">
        <v>146427.38</v>
      </c>
      <c r="H443">
        <v>0</v>
      </c>
      <c r="I443">
        <v>0</v>
      </c>
      <c r="K443">
        <v>109299.14</v>
      </c>
      <c r="L443">
        <v>0</v>
      </c>
      <c r="N443">
        <v>37128.239999999998</v>
      </c>
      <c r="P443" t="s">
        <v>497</v>
      </c>
    </row>
    <row r="444" spans="1:16">
      <c r="A444" t="s">
        <v>15</v>
      </c>
      <c r="B444">
        <v>281</v>
      </c>
      <c r="C444">
        <v>10</v>
      </c>
      <c r="D444" t="s">
        <v>22</v>
      </c>
      <c r="E444" t="s">
        <v>17</v>
      </c>
      <c r="F444">
        <v>427918.8</v>
      </c>
      <c r="H444">
        <v>0</v>
      </c>
      <c r="I444">
        <v>0</v>
      </c>
      <c r="K444">
        <v>237844.98</v>
      </c>
      <c r="L444">
        <v>0</v>
      </c>
      <c r="N444">
        <v>190073.82</v>
      </c>
      <c r="P444" t="s">
        <v>498</v>
      </c>
    </row>
    <row r="445" spans="1:16">
      <c r="A445" t="s">
        <v>15</v>
      </c>
      <c r="B445">
        <v>281</v>
      </c>
      <c r="C445">
        <v>13</v>
      </c>
      <c r="D445" t="s">
        <v>273</v>
      </c>
      <c r="E445" t="s">
        <v>17</v>
      </c>
      <c r="F445">
        <v>176163.7</v>
      </c>
      <c r="H445">
        <v>0</v>
      </c>
      <c r="I445">
        <v>0</v>
      </c>
      <c r="K445">
        <v>136072.9</v>
      </c>
      <c r="L445">
        <v>0</v>
      </c>
      <c r="N445">
        <v>40090.800000000003</v>
      </c>
      <c r="P445" t="s">
        <v>499</v>
      </c>
    </row>
    <row r="446" spans="1:16">
      <c r="A446" t="s">
        <v>15</v>
      </c>
      <c r="B446">
        <v>281</v>
      </c>
      <c r="C446">
        <v>14</v>
      </c>
      <c r="D446" t="s">
        <v>25</v>
      </c>
      <c r="E446" t="s">
        <v>17</v>
      </c>
      <c r="F446">
        <v>106173</v>
      </c>
      <c r="H446">
        <v>0</v>
      </c>
      <c r="I446">
        <v>0</v>
      </c>
      <c r="K446">
        <v>74863.5</v>
      </c>
      <c r="L446">
        <v>0</v>
      </c>
      <c r="N446">
        <v>31309.5</v>
      </c>
      <c r="P446" t="s">
        <v>500</v>
      </c>
    </row>
    <row r="447" spans="1:16">
      <c r="A447" t="s">
        <v>15</v>
      </c>
      <c r="B447">
        <v>281</v>
      </c>
      <c r="C447">
        <v>16</v>
      </c>
      <c r="D447" t="s">
        <v>27</v>
      </c>
      <c r="E447" t="s">
        <v>17</v>
      </c>
      <c r="F447">
        <v>16755.439999999999</v>
      </c>
      <c r="H447">
        <v>0</v>
      </c>
      <c r="I447">
        <v>0</v>
      </c>
      <c r="K447">
        <v>11777.71</v>
      </c>
      <c r="L447">
        <v>0</v>
      </c>
      <c r="N447">
        <v>4977.7299999999996</v>
      </c>
      <c r="P447" t="s">
        <v>501</v>
      </c>
    </row>
    <row r="448" spans="1:16">
      <c r="A448" t="s">
        <v>15</v>
      </c>
      <c r="B448">
        <v>281</v>
      </c>
      <c r="C448">
        <v>17</v>
      </c>
      <c r="D448" t="s">
        <v>29</v>
      </c>
      <c r="E448" t="s">
        <v>17</v>
      </c>
      <c r="F448">
        <v>14354.37</v>
      </c>
      <c r="H448">
        <v>0</v>
      </c>
      <c r="I448">
        <v>0</v>
      </c>
      <c r="K448">
        <v>14033.6</v>
      </c>
      <c r="L448">
        <v>0</v>
      </c>
      <c r="N448">
        <v>320.77</v>
      </c>
      <c r="P448" t="s">
        <v>502</v>
      </c>
    </row>
    <row r="449" spans="1:16">
      <c r="A449" t="s">
        <v>15</v>
      </c>
      <c r="B449">
        <v>281</v>
      </c>
      <c r="C449">
        <v>18</v>
      </c>
      <c r="D449" t="s">
        <v>31</v>
      </c>
      <c r="E449" t="s">
        <v>17</v>
      </c>
      <c r="F449">
        <v>134657.51999999999</v>
      </c>
      <c r="H449">
        <v>0</v>
      </c>
      <c r="I449">
        <v>0</v>
      </c>
      <c r="K449">
        <v>108177.92</v>
      </c>
      <c r="L449">
        <v>0</v>
      </c>
      <c r="N449">
        <v>26479.599999999999</v>
      </c>
      <c r="P449" t="s">
        <v>503</v>
      </c>
    </row>
    <row r="450" spans="1:16">
      <c r="A450" t="s">
        <v>15</v>
      </c>
      <c r="B450">
        <v>281</v>
      </c>
      <c r="C450">
        <v>102</v>
      </c>
      <c r="D450" t="s">
        <v>66</v>
      </c>
      <c r="E450" t="s">
        <v>17</v>
      </c>
      <c r="F450">
        <v>22060.16</v>
      </c>
      <c r="H450">
        <v>0</v>
      </c>
      <c r="I450">
        <v>0</v>
      </c>
      <c r="K450">
        <v>15762.18</v>
      </c>
      <c r="L450">
        <v>0</v>
      </c>
      <c r="N450">
        <v>6297.98</v>
      </c>
      <c r="P450" t="s">
        <v>504</v>
      </c>
    </row>
    <row r="451" spans="1:16">
      <c r="A451" t="s">
        <v>15</v>
      </c>
      <c r="B451">
        <v>281</v>
      </c>
      <c r="C451">
        <v>104</v>
      </c>
      <c r="D451" t="s">
        <v>34</v>
      </c>
      <c r="E451" t="s">
        <v>17</v>
      </c>
      <c r="F451">
        <v>949.2</v>
      </c>
      <c r="H451">
        <v>0</v>
      </c>
      <c r="I451">
        <v>0</v>
      </c>
      <c r="K451">
        <v>664.44</v>
      </c>
      <c r="L451">
        <v>0</v>
      </c>
      <c r="N451">
        <v>284.76</v>
      </c>
      <c r="P451" t="s">
        <v>505</v>
      </c>
    </row>
    <row r="452" spans="1:16">
      <c r="A452" t="s">
        <v>15</v>
      </c>
      <c r="B452">
        <v>281</v>
      </c>
      <c r="C452">
        <v>123</v>
      </c>
      <c r="D452" t="s">
        <v>187</v>
      </c>
      <c r="E452" t="s">
        <v>17</v>
      </c>
      <c r="F452">
        <v>177000</v>
      </c>
      <c r="H452">
        <v>0</v>
      </c>
      <c r="I452">
        <v>0</v>
      </c>
      <c r="K452">
        <v>75515.7</v>
      </c>
      <c r="L452">
        <v>0</v>
      </c>
      <c r="N452">
        <v>101484.3</v>
      </c>
      <c r="P452" t="s">
        <v>506</v>
      </c>
    </row>
    <row r="453" spans="1:16">
      <c r="A453" t="s">
        <v>15</v>
      </c>
      <c r="B453">
        <v>281</v>
      </c>
      <c r="C453">
        <v>127</v>
      </c>
      <c r="D453" t="s">
        <v>507</v>
      </c>
      <c r="E453" t="s">
        <v>17</v>
      </c>
      <c r="F453">
        <v>10000</v>
      </c>
      <c r="H453">
        <v>0</v>
      </c>
      <c r="I453">
        <v>0</v>
      </c>
      <c r="K453">
        <v>0</v>
      </c>
      <c r="L453">
        <v>0</v>
      </c>
      <c r="N453">
        <v>10000</v>
      </c>
      <c r="P453" t="s">
        <v>508</v>
      </c>
    </row>
    <row r="454" spans="1:16">
      <c r="A454" t="s">
        <v>15</v>
      </c>
      <c r="B454">
        <v>281</v>
      </c>
      <c r="C454">
        <v>175</v>
      </c>
      <c r="D454" t="s">
        <v>195</v>
      </c>
      <c r="E454" t="s">
        <v>17</v>
      </c>
      <c r="F454">
        <v>300000</v>
      </c>
      <c r="H454">
        <v>0</v>
      </c>
      <c r="I454">
        <v>0</v>
      </c>
      <c r="K454">
        <v>225751.57</v>
      </c>
      <c r="L454">
        <v>0</v>
      </c>
      <c r="N454">
        <v>74248.429999999993</v>
      </c>
      <c r="P454" t="s">
        <v>509</v>
      </c>
    </row>
    <row r="455" spans="1:16">
      <c r="A455" t="s">
        <v>15</v>
      </c>
      <c r="B455">
        <v>281</v>
      </c>
      <c r="C455">
        <v>183</v>
      </c>
      <c r="D455" t="s">
        <v>75</v>
      </c>
      <c r="E455" t="s">
        <v>17</v>
      </c>
      <c r="F455">
        <v>5000</v>
      </c>
      <c r="H455">
        <v>0</v>
      </c>
      <c r="I455">
        <v>0</v>
      </c>
      <c r="K455">
        <v>18000</v>
      </c>
      <c r="L455">
        <v>0</v>
      </c>
      <c r="N455">
        <v>-13000</v>
      </c>
      <c r="P455" t="s">
        <v>510</v>
      </c>
    </row>
    <row r="456" spans="1:16">
      <c r="A456" t="s">
        <v>15</v>
      </c>
      <c r="B456">
        <v>281</v>
      </c>
      <c r="C456">
        <v>195</v>
      </c>
      <c r="D456" t="s">
        <v>38</v>
      </c>
      <c r="E456" t="s">
        <v>17</v>
      </c>
      <c r="F456">
        <v>2500</v>
      </c>
      <c r="H456">
        <v>0</v>
      </c>
      <c r="I456">
        <v>0</v>
      </c>
      <c r="K456">
        <v>0</v>
      </c>
      <c r="L456">
        <v>0</v>
      </c>
      <c r="N456">
        <v>2500</v>
      </c>
      <c r="P456" t="s">
        <v>511</v>
      </c>
    </row>
    <row r="457" spans="1:16">
      <c r="A457" t="s">
        <v>15</v>
      </c>
      <c r="B457">
        <v>281</v>
      </c>
      <c r="C457">
        <v>196</v>
      </c>
      <c r="D457" t="s">
        <v>512</v>
      </c>
      <c r="E457" t="s">
        <v>17</v>
      </c>
      <c r="F457">
        <v>10000</v>
      </c>
      <c r="H457">
        <v>0</v>
      </c>
      <c r="I457">
        <v>0</v>
      </c>
      <c r="K457">
        <v>0</v>
      </c>
      <c r="L457">
        <v>0</v>
      </c>
      <c r="N457">
        <v>10000</v>
      </c>
      <c r="P457" t="s">
        <v>513</v>
      </c>
    </row>
    <row r="458" spans="1:16">
      <c r="A458" t="s">
        <v>15</v>
      </c>
      <c r="B458">
        <v>281</v>
      </c>
      <c r="C458">
        <v>210</v>
      </c>
      <c r="D458" t="s">
        <v>44</v>
      </c>
      <c r="E458" t="s">
        <v>17</v>
      </c>
      <c r="F458">
        <v>69081.149999999994</v>
      </c>
      <c r="H458">
        <v>0</v>
      </c>
      <c r="I458">
        <v>0</v>
      </c>
      <c r="K458">
        <v>0</v>
      </c>
      <c r="L458">
        <v>0</v>
      </c>
      <c r="N458">
        <v>69081.149999999994</v>
      </c>
    </row>
    <row r="459" spans="1:16">
      <c r="A459" t="s">
        <v>15</v>
      </c>
      <c r="B459">
        <v>281</v>
      </c>
      <c r="C459">
        <v>262</v>
      </c>
      <c r="D459" t="s">
        <v>212</v>
      </c>
      <c r="E459" t="s">
        <v>17</v>
      </c>
      <c r="F459">
        <v>200000</v>
      </c>
      <c r="H459">
        <v>0</v>
      </c>
      <c r="I459">
        <v>0</v>
      </c>
      <c r="K459">
        <v>173500</v>
      </c>
      <c r="L459">
        <v>0</v>
      </c>
      <c r="N459">
        <v>26500</v>
      </c>
      <c r="P459" t="s">
        <v>514</v>
      </c>
    </row>
    <row r="460" spans="1:16">
      <c r="A460" t="s">
        <v>15</v>
      </c>
      <c r="B460">
        <v>281</v>
      </c>
      <c r="C460">
        <v>278</v>
      </c>
      <c r="D460" t="s">
        <v>218</v>
      </c>
      <c r="E460" t="s">
        <v>17</v>
      </c>
      <c r="F460">
        <v>50000</v>
      </c>
      <c r="H460">
        <v>0</v>
      </c>
      <c r="I460">
        <v>0</v>
      </c>
      <c r="K460">
        <v>25126.45</v>
      </c>
      <c r="L460">
        <v>0</v>
      </c>
      <c r="N460">
        <v>24873.55</v>
      </c>
      <c r="P460" t="s">
        <v>515</v>
      </c>
    </row>
    <row r="461" spans="1:16">
      <c r="A461" t="s">
        <v>15</v>
      </c>
      <c r="B461">
        <v>281</v>
      </c>
      <c r="C461">
        <v>284</v>
      </c>
      <c r="D461" t="s">
        <v>221</v>
      </c>
      <c r="E461" t="s">
        <v>17</v>
      </c>
      <c r="F461">
        <v>15000</v>
      </c>
      <c r="H461">
        <v>0</v>
      </c>
      <c r="I461">
        <v>0</v>
      </c>
      <c r="K461">
        <v>8388.75</v>
      </c>
      <c r="L461">
        <v>0</v>
      </c>
      <c r="N461">
        <v>6611.25</v>
      </c>
      <c r="P461" t="s">
        <v>516</v>
      </c>
    </row>
    <row r="462" spans="1:16">
      <c r="A462" t="s">
        <v>15</v>
      </c>
      <c r="B462">
        <v>281</v>
      </c>
      <c r="C462">
        <v>8813</v>
      </c>
      <c r="D462" t="s">
        <v>517</v>
      </c>
      <c r="E462" t="s">
        <v>46</v>
      </c>
      <c r="F462">
        <v>-180000</v>
      </c>
      <c r="H462">
        <v>0</v>
      </c>
      <c r="I462">
        <v>0</v>
      </c>
      <c r="K462">
        <v>0</v>
      </c>
      <c r="L462">
        <v>-85100</v>
      </c>
      <c r="N462">
        <v>-94900</v>
      </c>
      <c r="P462" t="s">
        <v>518</v>
      </c>
    </row>
    <row r="463" spans="1:16">
      <c r="A463" t="s">
        <v>15</v>
      </c>
      <c r="B463">
        <v>281</v>
      </c>
      <c r="C463">
        <v>8880</v>
      </c>
      <c r="D463" t="s">
        <v>519</v>
      </c>
      <c r="E463" t="s">
        <v>46</v>
      </c>
      <c r="F463">
        <v>0</v>
      </c>
      <c r="H463">
        <v>0</v>
      </c>
      <c r="I463">
        <v>0</v>
      </c>
      <c r="K463">
        <v>0</v>
      </c>
      <c r="L463">
        <v>-27200</v>
      </c>
      <c r="N463">
        <v>27200</v>
      </c>
      <c r="P463" t="s">
        <v>520</v>
      </c>
    </row>
    <row r="464" spans="1:16">
      <c r="C464" t="s">
        <v>521</v>
      </c>
      <c r="D464" t="s">
        <v>522</v>
      </c>
      <c r="F464" t="s">
        <v>52</v>
      </c>
      <c r="G464">
        <v>3484819.15</v>
      </c>
      <c r="I464">
        <v>0</v>
      </c>
      <c r="J464">
        <v>0</v>
      </c>
      <c r="L464">
        <v>2467122.4300000002</v>
      </c>
      <c r="M464">
        <v>-112300</v>
      </c>
      <c r="O464">
        <v>1129996.72</v>
      </c>
    </row>
    <row r="465" spans="1:16">
      <c r="H465" t="s">
        <v>53</v>
      </c>
      <c r="I465">
        <v>0</v>
      </c>
      <c r="K465" t="s">
        <v>54</v>
      </c>
      <c r="L465">
        <v>2354822.4300000002</v>
      </c>
    </row>
    <row r="467" spans="1:16">
      <c r="A467" t="s">
        <v>15</v>
      </c>
      <c r="B467">
        <v>290</v>
      </c>
      <c r="C467">
        <v>1</v>
      </c>
      <c r="D467" t="s">
        <v>16</v>
      </c>
      <c r="E467" t="s">
        <v>17</v>
      </c>
      <c r="F467">
        <v>1894556.12</v>
      </c>
      <c r="H467">
        <v>0</v>
      </c>
      <c r="I467">
        <v>0</v>
      </c>
      <c r="K467">
        <v>1357881.86</v>
      </c>
      <c r="L467">
        <v>0</v>
      </c>
      <c r="N467">
        <v>536674.26</v>
      </c>
      <c r="P467" t="s">
        <v>523</v>
      </c>
    </row>
    <row r="468" spans="1:16">
      <c r="A468" t="s">
        <v>15</v>
      </c>
      <c r="B468">
        <v>290</v>
      </c>
      <c r="C468">
        <v>3</v>
      </c>
      <c r="D468" t="s">
        <v>56</v>
      </c>
      <c r="E468" t="s">
        <v>17</v>
      </c>
      <c r="F468">
        <v>13104.06</v>
      </c>
      <c r="H468">
        <v>0</v>
      </c>
      <c r="I468">
        <v>0</v>
      </c>
      <c r="K468">
        <v>9232.0300000000007</v>
      </c>
      <c r="L468">
        <v>0</v>
      </c>
      <c r="N468">
        <v>3872.03</v>
      </c>
      <c r="P468" t="s">
        <v>524</v>
      </c>
    </row>
    <row r="469" spans="1:16">
      <c r="A469" t="s">
        <v>15</v>
      </c>
      <c r="B469">
        <v>290</v>
      </c>
      <c r="C469">
        <v>4</v>
      </c>
      <c r="D469" t="s">
        <v>58</v>
      </c>
      <c r="E469" t="s">
        <v>17</v>
      </c>
      <c r="F469">
        <v>7206.58</v>
      </c>
      <c r="H469">
        <v>0</v>
      </c>
      <c r="I469">
        <v>0</v>
      </c>
      <c r="K469">
        <v>4953.6499999999996</v>
      </c>
      <c r="L469">
        <v>0</v>
      </c>
      <c r="N469">
        <v>2252.9299999999998</v>
      </c>
      <c r="P469" t="s">
        <v>525</v>
      </c>
    </row>
    <row r="470" spans="1:16">
      <c r="A470" t="s">
        <v>15</v>
      </c>
      <c r="B470">
        <v>290</v>
      </c>
      <c r="C470">
        <v>6</v>
      </c>
      <c r="D470" t="s">
        <v>19</v>
      </c>
      <c r="E470" t="s">
        <v>17</v>
      </c>
      <c r="F470">
        <v>159970.82</v>
      </c>
      <c r="H470">
        <v>0</v>
      </c>
      <c r="I470">
        <v>0</v>
      </c>
      <c r="K470">
        <v>107579.18</v>
      </c>
      <c r="L470">
        <v>0</v>
      </c>
      <c r="N470">
        <v>52391.64</v>
      </c>
      <c r="P470" t="s">
        <v>526</v>
      </c>
    </row>
    <row r="471" spans="1:16">
      <c r="A471" t="s">
        <v>15</v>
      </c>
      <c r="B471">
        <v>290</v>
      </c>
      <c r="C471">
        <v>8</v>
      </c>
      <c r="D471" t="s">
        <v>173</v>
      </c>
      <c r="E471" t="s">
        <v>17</v>
      </c>
      <c r="F471">
        <v>408222.94</v>
      </c>
      <c r="H471">
        <v>0</v>
      </c>
      <c r="I471">
        <v>0</v>
      </c>
      <c r="K471">
        <v>288798.02</v>
      </c>
      <c r="L471">
        <v>0</v>
      </c>
      <c r="N471">
        <v>119424.92</v>
      </c>
      <c r="P471" t="s">
        <v>527</v>
      </c>
    </row>
    <row r="472" spans="1:16">
      <c r="A472" t="s">
        <v>15</v>
      </c>
      <c r="B472">
        <v>290</v>
      </c>
      <c r="C472">
        <v>10</v>
      </c>
      <c r="D472" t="s">
        <v>22</v>
      </c>
      <c r="E472" t="s">
        <v>17</v>
      </c>
      <c r="F472">
        <v>347972.68</v>
      </c>
      <c r="H472">
        <v>0</v>
      </c>
      <c r="I472">
        <v>0</v>
      </c>
      <c r="K472">
        <v>243600.82</v>
      </c>
      <c r="L472">
        <v>0</v>
      </c>
      <c r="N472">
        <v>104371.86</v>
      </c>
      <c r="P472" t="s">
        <v>528</v>
      </c>
    </row>
    <row r="473" spans="1:16">
      <c r="A473" t="s">
        <v>15</v>
      </c>
      <c r="B473">
        <v>290</v>
      </c>
      <c r="C473">
        <v>11</v>
      </c>
      <c r="D473" t="s">
        <v>24</v>
      </c>
      <c r="E473" t="s">
        <v>17</v>
      </c>
      <c r="F473">
        <v>0</v>
      </c>
      <c r="H473">
        <v>0</v>
      </c>
      <c r="I473">
        <v>0</v>
      </c>
      <c r="K473">
        <v>26146.75</v>
      </c>
      <c r="L473">
        <v>0</v>
      </c>
      <c r="N473">
        <v>-26146.75</v>
      </c>
      <c r="P473" t="s">
        <v>529</v>
      </c>
    </row>
    <row r="474" spans="1:16">
      <c r="A474" t="s">
        <v>15</v>
      </c>
      <c r="B474">
        <v>290</v>
      </c>
      <c r="C474">
        <v>13</v>
      </c>
      <c r="D474" t="s">
        <v>273</v>
      </c>
      <c r="E474" t="s">
        <v>17</v>
      </c>
      <c r="F474">
        <v>175844</v>
      </c>
      <c r="H474">
        <v>0</v>
      </c>
      <c r="I474">
        <v>0</v>
      </c>
      <c r="K474">
        <v>123409.59</v>
      </c>
      <c r="L474">
        <v>0</v>
      </c>
      <c r="N474">
        <v>52434.41</v>
      </c>
      <c r="P474" t="s">
        <v>530</v>
      </c>
    </row>
    <row r="475" spans="1:16">
      <c r="A475" t="s">
        <v>15</v>
      </c>
      <c r="B475">
        <v>290</v>
      </c>
      <c r="C475">
        <v>14</v>
      </c>
      <c r="D475" t="s">
        <v>25</v>
      </c>
      <c r="E475" t="s">
        <v>17</v>
      </c>
      <c r="F475">
        <v>187322.5</v>
      </c>
      <c r="H475">
        <v>0</v>
      </c>
      <c r="I475">
        <v>0</v>
      </c>
      <c r="K475">
        <v>127824.25</v>
      </c>
      <c r="L475">
        <v>0</v>
      </c>
      <c r="N475">
        <v>59498.25</v>
      </c>
      <c r="P475" t="s">
        <v>531</v>
      </c>
    </row>
    <row r="476" spans="1:16">
      <c r="A476" t="s">
        <v>15</v>
      </c>
      <c r="B476">
        <v>290</v>
      </c>
      <c r="C476">
        <v>16</v>
      </c>
      <c r="D476" t="s">
        <v>27</v>
      </c>
      <c r="E476" t="s">
        <v>17</v>
      </c>
      <c r="F476">
        <v>22554.84</v>
      </c>
      <c r="H476">
        <v>0</v>
      </c>
      <c r="I476">
        <v>0</v>
      </c>
      <c r="K476">
        <v>15750.95</v>
      </c>
      <c r="L476">
        <v>0</v>
      </c>
      <c r="N476">
        <v>6803.89</v>
      </c>
      <c r="P476" t="s">
        <v>532</v>
      </c>
    </row>
    <row r="477" spans="1:16">
      <c r="A477" t="s">
        <v>15</v>
      </c>
      <c r="B477">
        <v>290</v>
      </c>
      <c r="C477">
        <v>17</v>
      </c>
      <c r="D477" t="s">
        <v>29</v>
      </c>
      <c r="E477" t="s">
        <v>17</v>
      </c>
      <c r="F477">
        <v>35362.800000000003</v>
      </c>
      <c r="H477">
        <v>0</v>
      </c>
      <c r="I477">
        <v>0</v>
      </c>
      <c r="K477">
        <v>24453</v>
      </c>
      <c r="L477">
        <v>0</v>
      </c>
      <c r="N477">
        <v>10909.8</v>
      </c>
      <c r="P477" t="s">
        <v>533</v>
      </c>
    </row>
    <row r="478" spans="1:16">
      <c r="A478" t="s">
        <v>15</v>
      </c>
      <c r="B478">
        <v>290</v>
      </c>
      <c r="C478">
        <v>18</v>
      </c>
      <c r="D478" t="s">
        <v>31</v>
      </c>
      <c r="E478" t="s">
        <v>17</v>
      </c>
      <c r="F478">
        <v>131596.22</v>
      </c>
      <c r="H478">
        <v>0</v>
      </c>
      <c r="I478">
        <v>0</v>
      </c>
      <c r="K478">
        <v>118081.93</v>
      </c>
      <c r="L478">
        <v>0</v>
      </c>
      <c r="N478">
        <v>13514.29</v>
      </c>
      <c r="P478" t="s">
        <v>534</v>
      </c>
    </row>
    <row r="479" spans="1:16">
      <c r="A479" t="s">
        <v>15</v>
      </c>
      <c r="B479">
        <v>290</v>
      </c>
      <c r="C479">
        <v>102</v>
      </c>
      <c r="D479" t="s">
        <v>66</v>
      </c>
      <c r="E479" t="s">
        <v>17</v>
      </c>
      <c r="F479">
        <v>28503.759999999998</v>
      </c>
      <c r="H479">
        <v>0</v>
      </c>
      <c r="I479">
        <v>0</v>
      </c>
      <c r="K479">
        <v>20746.03</v>
      </c>
      <c r="L479">
        <v>0</v>
      </c>
      <c r="N479">
        <v>7757.73</v>
      </c>
      <c r="P479" t="s">
        <v>535</v>
      </c>
    </row>
    <row r="480" spans="1:16">
      <c r="A480" t="s">
        <v>15</v>
      </c>
      <c r="B480">
        <v>290</v>
      </c>
      <c r="C480">
        <v>104</v>
      </c>
      <c r="D480" t="s">
        <v>34</v>
      </c>
      <c r="E480" t="s">
        <v>17</v>
      </c>
      <c r="F480">
        <v>1193.28</v>
      </c>
      <c r="H480">
        <v>0</v>
      </c>
      <c r="I480">
        <v>0</v>
      </c>
      <c r="K480">
        <v>827.16</v>
      </c>
      <c r="L480">
        <v>0</v>
      </c>
      <c r="N480">
        <v>366.12</v>
      </c>
      <c r="P480" t="s">
        <v>536</v>
      </c>
    </row>
    <row r="481" spans="1:16">
      <c r="A481" t="s">
        <v>15</v>
      </c>
      <c r="B481">
        <v>290</v>
      </c>
      <c r="C481">
        <v>117</v>
      </c>
      <c r="D481" t="s">
        <v>338</v>
      </c>
      <c r="E481" t="s">
        <v>17</v>
      </c>
      <c r="F481">
        <v>5450000</v>
      </c>
      <c r="H481">
        <v>0</v>
      </c>
      <c r="I481">
        <v>0</v>
      </c>
      <c r="K481">
        <v>686347.95</v>
      </c>
      <c r="L481">
        <v>0</v>
      </c>
      <c r="N481">
        <v>4763652.05</v>
      </c>
      <c r="P481" t="s">
        <v>537</v>
      </c>
    </row>
    <row r="482" spans="1:16">
      <c r="A482" t="s">
        <v>15</v>
      </c>
      <c r="B482">
        <v>290</v>
      </c>
      <c r="C482">
        <v>123</v>
      </c>
      <c r="D482" t="s">
        <v>187</v>
      </c>
      <c r="E482" t="s">
        <v>17</v>
      </c>
      <c r="F482">
        <v>802000</v>
      </c>
      <c r="H482">
        <v>0</v>
      </c>
      <c r="I482">
        <v>0</v>
      </c>
      <c r="K482">
        <v>353125.17</v>
      </c>
      <c r="L482">
        <v>0</v>
      </c>
      <c r="N482">
        <v>448874.83</v>
      </c>
      <c r="P482" t="s">
        <v>538</v>
      </c>
    </row>
    <row r="483" spans="1:16">
      <c r="A483" t="s">
        <v>15</v>
      </c>
      <c r="B483">
        <v>290</v>
      </c>
      <c r="C483">
        <v>135</v>
      </c>
      <c r="D483" t="s">
        <v>189</v>
      </c>
      <c r="E483" t="s">
        <v>17</v>
      </c>
      <c r="F483">
        <v>2000000</v>
      </c>
      <c r="H483">
        <v>0</v>
      </c>
      <c r="I483">
        <v>0</v>
      </c>
      <c r="K483">
        <v>1816928.49</v>
      </c>
      <c r="L483">
        <v>0</v>
      </c>
      <c r="N483">
        <v>183071.51</v>
      </c>
      <c r="P483" t="s">
        <v>539</v>
      </c>
    </row>
    <row r="484" spans="1:16">
      <c r="A484" t="s">
        <v>15</v>
      </c>
      <c r="B484">
        <v>290</v>
      </c>
      <c r="C484">
        <v>165</v>
      </c>
      <c r="D484" t="s">
        <v>540</v>
      </c>
      <c r="E484" t="s">
        <v>17</v>
      </c>
      <c r="F484">
        <v>36223000</v>
      </c>
      <c r="H484">
        <v>0</v>
      </c>
      <c r="I484">
        <v>0</v>
      </c>
      <c r="K484">
        <v>25629345.960000001</v>
      </c>
      <c r="L484">
        <v>0</v>
      </c>
      <c r="N484">
        <v>10593654.039999999</v>
      </c>
      <c r="P484" t="s">
        <v>541</v>
      </c>
    </row>
    <row r="485" spans="1:16">
      <c r="A485" t="s">
        <v>15</v>
      </c>
      <c r="B485">
        <v>290</v>
      </c>
      <c r="C485">
        <v>175</v>
      </c>
      <c r="D485" t="s">
        <v>127</v>
      </c>
      <c r="E485" t="s">
        <v>17</v>
      </c>
      <c r="F485">
        <v>66109.75</v>
      </c>
      <c r="H485">
        <v>0</v>
      </c>
      <c r="I485">
        <v>0</v>
      </c>
      <c r="K485">
        <v>17551.689999999999</v>
      </c>
      <c r="L485">
        <v>0</v>
      </c>
      <c r="N485">
        <v>48558.06</v>
      </c>
    </row>
    <row r="486" spans="1:16">
      <c r="A486" t="s">
        <v>15</v>
      </c>
      <c r="B486">
        <v>290</v>
      </c>
      <c r="C486">
        <v>193</v>
      </c>
      <c r="D486" t="s">
        <v>255</v>
      </c>
      <c r="E486" t="s">
        <v>17</v>
      </c>
      <c r="F486">
        <v>-158000</v>
      </c>
      <c r="H486">
        <v>0</v>
      </c>
      <c r="I486">
        <v>0</v>
      </c>
      <c r="K486">
        <v>10000</v>
      </c>
      <c r="L486">
        <v>0</v>
      </c>
      <c r="N486">
        <v>-168000</v>
      </c>
    </row>
    <row r="487" spans="1:16">
      <c r="A487" t="s">
        <v>15</v>
      </c>
      <c r="B487">
        <v>290</v>
      </c>
      <c r="C487">
        <v>195</v>
      </c>
      <c r="D487" t="s">
        <v>38</v>
      </c>
      <c r="E487" t="s">
        <v>17</v>
      </c>
      <c r="F487">
        <v>80000</v>
      </c>
      <c r="H487">
        <v>0</v>
      </c>
      <c r="I487">
        <v>0</v>
      </c>
      <c r="K487">
        <v>24216.17</v>
      </c>
      <c r="L487">
        <v>0</v>
      </c>
      <c r="N487">
        <v>55783.83</v>
      </c>
      <c r="P487" t="s">
        <v>542</v>
      </c>
    </row>
    <row r="488" spans="1:16">
      <c r="A488" t="s">
        <v>15</v>
      </c>
      <c r="B488">
        <v>290</v>
      </c>
      <c r="C488">
        <v>204</v>
      </c>
      <c r="D488" t="s">
        <v>42</v>
      </c>
      <c r="E488" t="s">
        <v>17</v>
      </c>
      <c r="F488">
        <v>7000</v>
      </c>
      <c r="H488">
        <v>0</v>
      </c>
      <c r="I488">
        <v>0</v>
      </c>
      <c r="K488">
        <v>5505.56</v>
      </c>
      <c r="L488">
        <v>0</v>
      </c>
      <c r="N488">
        <v>1494.44</v>
      </c>
      <c r="P488" t="s">
        <v>543</v>
      </c>
    </row>
    <row r="489" spans="1:16">
      <c r="A489" t="s">
        <v>15</v>
      </c>
      <c r="B489">
        <v>290</v>
      </c>
      <c r="C489">
        <v>208</v>
      </c>
      <c r="D489" t="s">
        <v>544</v>
      </c>
      <c r="E489" t="s">
        <v>17</v>
      </c>
      <c r="F489">
        <v>0</v>
      </c>
      <c r="H489">
        <v>0</v>
      </c>
      <c r="I489">
        <v>0</v>
      </c>
      <c r="K489">
        <v>180</v>
      </c>
      <c r="L489">
        <v>0</v>
      </c>
      <c r="N489">
        <v>-180</v>
      </c>
      <c r="P489" t="s">
        <v>545</v>
      </c>
    </row>
    <row r="490" spans="1:16">
      <c r="A490" t="s">
        <v>15</v>
      </c>
      <c r="B490">
        <v>290</v>
      </c>
      <c r="C490">
        <v>210</v>
      </c>
      <c r="D490" t="s">
        <v>44</v>
      </c>
      <c r="E490" t="s">
        <v>17</v>
      </c>
      <c r="F490">
        <v>3278090</v>
      </c>
      <c r="H490">
        <v>0</v>
      </c>
      <c r="I490">
        <v>0</v>
      </c>
      <c r="K490">
        <v>0</v>
      </c>
      <c r="L490">
        <v>0</v>
      </c>
      <c r="N490">
        <v>3278090</v>
      </c>
    </row>
    <row r="491" spans="1:16">
      <c r="A491" t="s">
        <v>15</v>
      </c>
      <c r="B491">
        <v>290</v>
      </c>
      <c r="C491">
        <v>243</v>
      </c>
      <c r="D491" t="s">
        <v>254</v>
      </c>
      <c r="E491" t="s">
        <v>17</v>
      </c>
      <c r="F491">
        <v>4500</v>
      </c>
      <c r="H491">
        <v>0</v>
      </c>
      <c r="I491">
        <v>0</v>
      </c>
      <c r="K491">
        <v>2507.5</v>
      </c>
      <c r="L491">
        <v>0</v>
      </c>
      <c r="N491">
        <v>1992.5</v>
      </c>
    </row>
    <row r="492" spans="1:16">
      <c r="A492" t="s">
        <v>15</v>
      </c>
      <c r="B492">
        <v>290</v>
      </c>
      <c r="C492">
        <v>252</v>
      </c>
      <c r="D492" t="s">
        <v>546</v>
      </c>
      <c r="E492" t="s">
        <v>17</v>
      </c>
      <c r="F492">
        <v>658000</v>
      </c>
      <c r="H492">
        <v>0</v>
      </c>
      <c r="I492">
        <v>0</v>
      </c>
      <c r="K492">
        <v>455286.9</v>
      </c>
      <c r="L492">
        <v>0</v>
      </c>
      <c r="N492">
        <v>202713.1</v>
      </c>
      <c r="P492" t="s">
        <v>547</v>
      </c>
    </row>
    <row r="493" spans="1:16">
      <c r="A493" t="s">
        <v>15</v>
      </c>
      <c r="B493">
        <v>290</v>
      </c>
      <c r="C493">
        <v>256</v>
      </c>
      <c r="D493" t="s">
        <v>350</v>
      </c>
      <c r="E493" t="s">
        <v>17</v>
      </c>
      <c r="F493">
        <v>3580600</v>
      </c>
      <c r="H493">
        <v>0</v>
      </c>
      <c r="I493">
        <v>0</v>
      </c>
      <c r="K493">
        <v>1687347.6</v>
      </c>
      <c r="L493">
        <v>0</v>
      </c>
      <c r="N493">
        <v>1893252.4</v>
      </c>
      <c r="P493" t="s">
        <v>548</v>
      </c>
    </row>
    <row r="494" spans="1:16">
      <c r="A494" t="s">
        <v>15</v>
      </c>
      <c r="B494">
        <v>290</v>
      </c>
      <c r="C494">
        <v>264</v>
      </c>
      <c r="D494" t="s">
        <v>214</v>
      </c>
      <c r="E494" t="s">
        <v>17</v>
      </c>
      <c r="F494">
        <v>20000</v>
      </c>
      <c r="H494">
        <v>0</v>
      </c>
      <c r="I494">
        <v>0</v>
      </c>
      <c r="K494">
        <v>8592.2199999999993</v>
      </c>
      <c r="L494">
        <v>0</v>
      </c>
      <c r="N494">
        <v>11407.78</v>
      </c>
      <c r="P494" t="s">
        <v>549</v>
      </c>
    </row>
    <row r="495" spans="1:16">
      <c r="A495" t="s">
        <v>15</v>
      </c>
      <c r="B495">
        <v>290</v>
      </c>
      <c r="C495">
        <v>278</v>
      </c>
      <c r="D495" t="s">
        <v>218</v>
      </c>
      <c r="E495" t="s">
        <v>17</v>
      </c>
      <c r="F495">
        <v>915000</v>
      </c>
      <c r="H495">
        <v>0</v>
      </c>
      <c r="I495">
        <v>0</v>
      </c>
      <c r="K495">
        <v>146387.45000000001</v>
      </c>
      <c r="L495">
        <v>0</v>
      </c>
      <c r="N495">
        <v>768612.55</v>
      </c>
      <c r="P495" t="s">
        <v>550</v>
      </c>
    </row>
    <row r="496" spans="1:16">
      <c r="A496" t="s">
        <v>15</v>
      </c>
      <c r="B496">
        <v>290</v>
      </c>
      <c r="C496">
        <v>280</v>
      </c>
      <c r="D496" t="s">
        <v>551</v>
      </c>
      <c r="E496" t="s">
        <v>17</v>
      </c>
      <c r="F496">
        <v>1300000</v>
      </c>
      <c r="H496">
        <v>0</v>
      </c>
      <c r="I496">
        <v>0</v>
      </c>
      <c r="K496">
        <v>1430646.28</v>
      </c>
      <c r="L496">
        <v>0</v>
      </c>
      <c r="N496">
        <v>-130646.28</v>
      </c>
      <c r="P496" t="s">
        <v>552</v>
      </c>
    </row>
    <row r="497" spans="1:16">
      <c r="A497" t="s">
        <v>15</v>
      </c>
      <c r="B497">
        <v>290</v>
      </c>
      <c r="C497">
        <v>283</v>
      </c>
      <c r="D497" t="s">
        <v>553</v>
      </c>
      <c r="E497" t="s">
        <v>17</v>
      </c>
      <c r="F497">
        <v>280000</v>
      </c>
      <c r="H497">
        <v>0</v>
      </c>
      <c r="I497">
        <v>0</v>
      </c>
      <c r="K497">
        <v>191311.94</v>
      </c>
      <c r="L497">
        <v>0</v>
      </c>
      <c r="N497">
        <v>88688.06</v>
      </c>
      <c r="P497" t="s">
        <v>554</v>
      </c>
    </row>
    <row r="498" spans="1:16">
      <c r="A498" t="s">
        <v>15</v>
      </c>
      <c r="B498">
        <v>290</v>
      </c>
      <c r="C498">
        <v>284</v>
      </c>
      <c r="D498" t="s">
        <v>221</v>
      </c>
      <c r="E498" t="s">
        <v>17</v>
      </c>
      <c r="F498">
        <v>135000</v>
      </c>
      <c r="H498">
        <v>0</v>
      </c>
      <c r="I498">
        <v>0</v>
      </c>
      <c r="K498">
        <v>71297.350000000006</v>
      </c>
      <c r="L498">
        <v>0</v>
      </c>
      <c r="N498">
        <v>63702.65</v>
      </c>
      <c r="P498" t="s">
        <v>555</v>
      </c>
    </row>
    <row r="499" spans="1:16">
      <c r="A499" t="s">
        <v>15</v>
      </c>
      <c r="B499">
        <v>290</v>
      </c>
      <c r="C499">
        <v>460</v>
      </c>
      <c r="D499" t="s">
        <v>145</v>
      </c>
      <c r="E499" t="s">
        <v>17</v>
      </c>
      <c r="F499">
        <v>0</v>
      </c>
      <c r="H499">
        <v>0</v>
      </c>
      <c r="I499">
        <v>0</v>
      </c>
      <c r="K499">
        <v>1473088.9</v>
      </c>
      <c r="L499">
        <v>0</v>
      </c>
      <c r="N499">
        <v>-1473088.9</v>
      </c>
      <c r="P499" t="s">
        <v>556</v>
      </c>
    </row>
    <row r="500" spans="1:16">
      <c r="A500" t="s">
        <v>15</v>
      </c>
      <c r="B500">
        <v>290</v>
      </c>
      <c r="C500">
        <v>461</v>
      </c>
      <c r="D500" t="s">
        <v>484</v>
      </c>
      <c r="E500" t="s">
        <v>17</v>
      </c>
      <c r="F500">
        <v>250000</v>
      </c>
      <c r="H500">
        <v>0</v>
      </c>
      <c r="I500">
        <v>0</v>
      </c>
      <c r="K500">
        <v>33375.9</v>
      </c>
      <c r="L500">
        <v>0</v>
      </c>
      <c r="N500">
        <v>216624.1</v>
      </c>
      <c r="P500" t="s">
        <v>557</v>
      </c>
    </row>
    <row r="501" spans="1:16">
      <c r="A501" t="s">
        <v>15</v>
      </c>
      <c r="B501">
        <v>290</v>
      </c>
      <c r="C501">
        <v>465</v>
      </c>
      <c r="D501" t="s">
        <v>558</v>
      </c>
      <c r="E501" t="s">
        <v>17</v>
      </c>
      <c r="F501">
        <v>5300000</v>
      </c>
      <c r="H501">
        <v>0</v>
      </c>
      <c r="I501">
        <v>0</v>
      </c>
      <c r="K501">
        <v>0</v>
      </c>
      <c r="L501">
        <v>0</v>
      </c>
      <c r="N501">
        <v>5300000</v>
      </c>
    </row>
    <row r="502" spans="1:16">
      <c r="A502" t="s">
        <v>15</v>
      </c>
      <c r="B502">
        <v>290</v>
      </c>
      <c r="C502">
        <v>475</v>
      </c>
      <c r="D502" t="s">
        <v>559</v>
      </c>
      <c r="E502" t="s">
        <v>17</v>
      </c>
      <c r="F502">
        <v>0</v>
      </c>
      <c r="H502">
        <v>0</v>
      </c>
      <c r="I502">
        <v>0</v>
      </c>
      <c r="K502">
        <v>310715.02</v>
      </c>
      <c r="L502">
        <v>0</v>
      </c>
      <c r="N502">
        <v>-310715.02</v>
      </c>
      <c r="P502" t="s">
        <v>560</v>
      </c>
    </row>
    <row r="503" spans="1:16">
      <c r="A503" t="s">
        <v>15</v>
      </c>
      <c r="B503">
        <v>290</v>
      </c>
      <c r="C503">
        <v>479</v>
      </c>
      <c r="D503" t="s">
        <v>561</v>
      </c>
      <c r="E503" t="s">
        <v>17</v>
      </c>
      <c r="F503">
        <v>800000</v>
      </c>
      <c r="H503">
        <v>0</v>
      </c>
      <c r="I503">
        <v>0</v>
      </c>
      <c r="K503">
        <v>133787.29</v>
      </c>
      <c r="L503">
        <v>0</v>
      </c>
      <c r="N503">
        <v>666212.71</v>
      </c>
    </row>
    <row r="504" spans="1:16">
      <c r="A504" t="s">
        <v>15</v>
      </c>
      <c r="B504">
        <v>290</v>
      </c>
      <c r="C504">
        <v>8801</v>
      </c>
      <c r="D504" t="s">
        <v>562</v>
      </c>
      <c r="E504" t="s">
        <v>46</v>
      </c>
      <c r="F504">
        <v>500000</v>
      </c>
      <c r="H504">
        <v>0</v>
      </c>
      <c r="I504">
        <v>0</v>
      </c>
      <c r="K504">
        <v>0</v>
      </c>
      <c r="L504">
        <v>-136565</v>
      </c>
      <c r="N504">
        <v>636565</v>
      </c>
      <c r="P504" t="s">
        <v>563</v>
      </c>
    </row>
    <row r="505" spans="1:16">
      <c r="A505" t="s">
        <v>15</v>
      </c>
      <c r="B505">
        <v>290</v>
      </c>
      <c r="C505">
        <v>8803</v>
      </c>
      <c r="D505" t="s">
        <v>564</v>
      </c>
      <c r="E505" t="s">
        <v>46</v>
      </c>
      <c r="F505">
        <v>0</v>
      </c>
      <c r="H505">
        <v>0</v>
      </c>
      <c r="I505">
        <v>0</v>
      </c>
      <c r="K505">
        <v>0</v>
      </c>
      <c r="L505">
        <v>-1000000</v>
      </c>
      <c r="N505">
        <v>1000000</v>
      </c>
    </row>
    <row r="506" spans="1:16">
      <c r="A506" t="s">
        <v>15</v>
      </c>
      <c r="B506">
        <v>290</v>
      </c>
      <c r="C506">
        <v>8822</v>
      </c>
      <c r="D506" t="s">
        <v>486</v>
      </c>
      <c r="E506" t="s">
        <v>46</v>
      </c>
      <c r="F506">
        <v>0</v>
      </c>
      <c r="H506">
        <v>0</v>
      </c>
      <c r="I506">
        <v>0</v>
      </c>
      <c r="K506">
        <v>0</v>
      </c>
      <c r="L506">
        <v>-11241.44</v>
      </c>
      <c r="N506">
        <v>11241.44</v>
      </c>
      <c r="P506" t="s">
        <v>565</v>
      </c>
    </row>
    <row r="507" spans="1:16">
      <c r="A507" t="s">
        <v>15</v>
      </c>
      <c r="B507">
        <v>290</v>
      </c>
      <c r="C507">
        <v>8823</v>
      </c>
      <c r="D507" t="s">
        <v>566</v>
      </c>
      <c r="E507" t="s">
        <v>46</v>
      </c>
      <c r="F507">
        <v>0</v>
      </c>
      <c r="H507">
        <v>0</v>
      </c>
      <c r="I507">
        <v>0</v>
      </c>
      <c r="K507">
        <v>9453.7000000000007</v>
      </c>
      <c r="L507">
        <v>0</v>
      </c>
      <c r="N507">
        <v>-9453.7000000000007</v>
      </c>
    </row>
    <row r="508" spans="1:16">
      <c r="A508" t="s">
        <v>15</v>
      </c>
      <c r="B508">
        <v>290</v>
      </c>
      <c r="C508">
        <v>8875</v>
      </c>
      <c r="D508" t="s">
        <v>121</v>
      </c>
      <c r="E508" t="s">
        <v>46</v>
      </c>
      <c r="F508">
        <v>-8710000</v>
      </c>
      <c r="H508">
        <v>0</v>
      </c>
      <c r="I508">
        <v>0</v>
      </c>
      <c r="K508">
        <v>0</v>
      </c>
      <c r="L508">
        <v>0</v>
      </c>
      <c r="N508">
        <v>-8710000</v>
      </c>
    </row>
    <row r="509" spans="1:16">
      <c r="A509" t="s">
        <v>15</v>
      </c>
      <c r="B509">
        <v>290</v>
      </c>
      <c r="C509">
        <v>8911</v>
      </c>
      <c r="D509" t="s">
        <v>567</v>
      </c>
      <c r="E509" t="s">
        <v>46</v>
      </c>
      <c r="F509">
        <v>0</v>
      </c>
      <c r="H509">
        <v>0</v>
      </c>
      <c r="I509">
        <v>0</v>
      </c>
      <c r="K509">
        <v>0</v>
      </c>
      <c r="L509">
        <v>-62485.53</v>
      </c>
      <c r="N509">
        <v>62485.53</v>
      </c>
      <c r="P509" t="s">
        <v>568</v>
      </c>
    </row>
    <row r="510" spans="1:16">
      <c r="A510" t="s">
        <v>15</v>
      </c>
      <c r="B510">
        <v>290</v>
      </c>
      <c r="C510">
        <v>8912</v>
      </c>
      <c r="D510" t="s">
        <v>569</v>
      </c>
      <c r="E510" t="s">
        <v>46</v>
      </c>
      <c r="F510">
        <v>-5300000</v>
      </c>
      <c r="H510">
        <v>0</v>
      </c>
      <c r="I510">
        <v>0</v>
      </c>
      <c r="K510">
        <v>0</v>
      </c>
      <c r="L510">
        <v>-4300000</v>
      </c>
      <c r="N510">
        <v>-1000000</v>
      </c>
    </row>
    <row r="511" spans="1:16">
      <c r="A511" t="s">
        <v>15</v>
      </c>
      <c r="B511">
        <v>290</v>
      </c>
      <c r="C511">
        <v>8951</v>
      </c>
      <c r="D511" t="s">
        <v>570</v>
      </c>
      <c r="E511" t="s">
        <v>17</v>
      </c>
      <c r="F511">
        <v>30078142.010000002</v>
      </c>
      <c r="H511">
        <v>0</v>
      </c>
      <c r="I511">
        <v>0</v>
      </c>
      <c r="K511">
        <v>0</v>
      </c>
      <c r="L511">
        <v>-15899009.6</v>
      </c>
      <c r="N511">
        <v>45977151.609999999</v>
      </c>
      <c r="P511" t="s">
        <v>571</v>
      </c>
    </row>
    <row r="512" spans="1:16">
      <c r="A512" t="s">
        <v>15</v>
      </c>
      <c r="B512">
        <v>290</v>
      </c>
      <c r="C512">
        <v>8958</v>
      </c>
      <c r="D512" t="s">
        <v>572</v>
      </c>
      <c r="E512" t="s">
        <v>46</v>
      </c>
      <c r="F512">
        <v>-10421857.99</v>
      </c>
      <c r="H512">
        <v>0</v>
      </c>
      <c r="I512">
        <v>0</v>
      </c>
      <c r="K512">
        <v>0</v>
      </c>
      <c r="L512">
        <v>-10712953.800000001</v>
      </c>
      <c r="N512">
        <v>291095.81</v>
      </c>
      <c r="P512" t="s">
        <v>573</v>
      </c>
    </row>
    <row r="513" spans="1:16">
      <c r="A513" t="s">
        <v>15</v>
      </c>
      <c r="B513">
        <v>290</v>
      </c>
      <c r="C513">
        <v>8960</v>
      </c>
      <c r="D513" t="s">
        <v>574</v>
      </c>
      <c r="E513" t="s">
        <v>17</v>
      </c>
      <c r="F513">
        <v>0</v>
      </c>
      <c r="H513">
        <v>0</v>
      </c>
      <c r="I513">
        <v>0</v>
      </c>
      <c r="K513">
        <v>0</v>
      </c>
      <c r="L513">
        <v>-701.75</v>
      </c>
      <c r="N513">
        <v>701.75</v>
      </c>
      <c r="P513" t="s">
        <v>575</v>
      </c>
    </row>
    <row r="514" spans="1:16">
      <c r="C514" t="s">
        <v>576</v>
      </c>
      <c r="D514" t="s">
        <v>577</v>
      </c>
      <c r="F514" t="s">
        <v>52</v>
      </c>
      <c r="G514">
        <v>70550994.370000005</v>
      </c>
      <c r="I514">
        <v>0</v>
      </c>
      <c r="J514">
        <v>0</v>
      </c>
      <c r="L514">
        <v>36966284.259999998</v>
      </c>
      <c r="M514">
        <v>-32122957.120000001</v>
      </c>
      <c r="O514">
        <v>65707667.229999997</v>
      </c>
    </row>
    <row r="515" spans="1:16">
      <c r="H515" t="s">
        <v>53</v>
      </c>
      <c r="I515">
        <v>0</v>
      </c>
      <c r="K515" t="s">
        <v>54</v>
      </c>
      <c r="L515">
        <v>4843327.1399999997</v>
      </c>
    </row>
    <row r="517" spans="1:16">
      <c r="A517" t="s">
        <v>15</v>
      </c>
      <c r="B517">
        <v>291</v>
      </c>
      <c r="C517">
        <v>1</v>
      </c>
      <c r="D517" t="s">
        <v>16</v>
      </c>
      <c r="E517" t="s">
        <v>17</v>
      </c>
      <c r="F517">
        <v>4592668.5599999996</v>
      </c>
      <c r="H517">
        <v>0</v>
      </c>
      <c r="I517">
        <v>0</v>
      </c>
      <c r="K517">
        <v>3102460.92</v>
      </c>
      <c r="L517">
        <v>0</v>
      </c>
      <c r="N517">
        <v>1490207.64</v>
      </c>
      <c r="P517" t="s">
        <v>578</v>
      </c>
    </row>
    <row r="518" spans="1:16">
      <c r="A518" t="s">
        <v>15</v>
      </c>
      <c r="B518">
        <v>291</v>
      </c>
      <c r="C518">
        <v>4</v>
      </c>
      <c r="D518" t="s">
        <v>58</v>
      </c>
      <c r="E518" t="s">
        <v>17</v>
      </c>
      <c r="F518">
        <v>15289.38</v>
      </c>
      <c r="H518">
        <v>0</v>
      </c>
      <c r="I518">
        <v>0</v>
      </c>
      <c r="K518">
        <v>10165.17</v>
      </c>
      <c r="L518">
        <v>0</v>
      </c>
      <c r="N518">
        <v>5124.21</v>
      </c>
      <c r="P518" t="s">
        <v>579</v>
      </c>
    </row>
    <row r="519" spans="1:16">
      <c r="A519" t="s">
        <v>15</v>
      </c>
      <c r="B519">
        <v>291</v>
      </c>
      <c r="C519">
        <v>6</v>
      </c>
      <c r="D519" t="s">
        <v>19</v>
      </c>
      <c r="E519" t="s">
        <v>17</v>
      </c>
      <c r="F519">
        <v>95852.64</v>
      </c>
      <c r="H519">
        <v>0</v>
      </c>
      <c r="I519">
        <v>0</v>
      </c>
      <c r="K519">
        <v>68835.72</v>
      </c>
      <c r="L519">
        <v>0</v>
      </c>
      <c r="N519">
        <v>27016.92</v>
      </c>
      <c r="P519" t="s">
        <v>580</v>
      </c>
    </row>
    <row r="520" spans="1:16">
      <c r="A520" t="s">
        <v>15</v>
      </c>
      <c r="B520">
        <v>291</v>
      </c>
      <c r="C520">
        <v>8</v>
      </c>
      <c r="D520" t="s">
        <v>173</v>
      </c>
      <c r="E520" t="s">
        <v>17</v>
      </c>
      <c r="F520">
        <v>411103.18</v>
      </c>
      <c r="H520">
        <v>0</v>
      </c>
      <c r="I520">
        <v>0</v>
      </c>
      <c r="K520">
        <v>312440.95</v>
      </c>
      <c r="L520">
        <v>0</v>
      </c>
      <c r="N520">
        <v>98662.23</v>
      </c>
      <c r="P520" t="s">
        <v>581</v>
      </c>
    </row>
    <row r="521" spans="1:16">
      <c r="A521" t="s">
        <v>15</v>
      </c>
      <c r="B521">
        <v>291</v>
      </c>
      <c r="C521">
        <v>10</v>
      </c>
      <c r="D521" t="s">
        <v>22</v>
      </c>
      <c r="E521" t="s">
        <v>17</v>
      </c>
      <c r="F521">
        <v>818244.72</v>
      </c>
      <c r="H521">
        <v>0</v>
      </c>
      <c r="I521">
        <v>0</v>
      </c>
      <c r="K521">
        <v>557261.78</v>
      </c>
      <c r="L521">
        <v>0</v>
      </c>
      <c r="N521">
        <v>260982.94</v>
      </c>
      <c r="P521" t="s">
        <v>582</v>
      </c>
    </row>
    <row r="522" spans="1:16">
      <c r="A522" t="s">
        <v>15</v>
      </c>
      <c r="B522">
        <v>291</v>
      </c>
      <c r="C522">
        <v>11</v>
      </c>
      <c r="D522" t="s">
        <v>24</v>
      </c>
      <c r="E522" t="s">
        <v>17</v>
      </c>
      <c r="F522">
        <v>42297.599999999999</v>
      </c>
      <c r="H522">
        <v>0</v>
      </c>
      <c r="I522">
        <v>0</v>
      </c>
      <c r="K522">
        <v>29608.32</v>
      </c>
      <c r="L522">
        <v>0</v>
      </c>
      <c r="N522">
        <v>12689.28</v>
      </c>
    </row>
    <row r="523" spans="1:16">
      <c r="A523" t="s">
        <v>15</v>
      </c>
      <c r="B523">
        <v>291</v>
      </c>
      <c r="C523">
        <v>13</v>
      </c>
      <c r="D523" t="s">
        <v>273</v>
      </c>
      <c r="E523" t="s">
        <v>17</v>
      </c>
      <c r="F523">
        <v>136332.22</v>
      </c>
      <c r="H523">
        <v>0</v>
      </c>
      <c r="I523">
        <v>0</v>
      </c>
      <c r="K523">
        <v>116673.94</v>
      </c>
      <c r="L523">
        <v>0</v>
      </c>
      <c r="N523">
        <v>19658.28</v>
      </c>
      <c r="P523" t="s">
        <v>583</v>
      </c>
    </row>
    <row r="524" spans="1:16">
      <c r="A524" t="s">
        <v>15</v>
      </c>
      <c r="B524">
        <v>291</v>
      </c>
      <c r="C524">
        <v>16</v>
      </c>
      <c r="D524" t="s">
        <v>27</v>
      </c>
      <c r="E524" t="s">
        <v>17</v>
      </c>
      <c r="F524">
        <v>49607.34</v>
      </c>
      <c r="H524">
        <v>0</v>
      </c>
      <c r="I524">
        <v>0</v>
      </c>
      <c r="K524">
        <v>34963.519999999997</v>
      </c>
      <c r="L524">
        <v>0</v>
      </c>
      <c r="N524">
        <v>14643.82</v>
      </c>
      <c r="P524" t="s">
        <v>584</v>
      </c>
    </row>
    <row r="525" spans="1:16">
      <c r="A525" t="s">
        <v>15</v>
      </c>
      <c r="B525">
        <v>291</v>
      </c>
      <c r="C525">
        <v>17</v>
      </c>
      <c r="D525" t="s">
        <v>29</v>
      </c>
      <c r="E525" t="s">
        <v>17</v>
      </c>
      <c r="F525">
        <v>12038.4</v>
      </c>
      <c r="H525">
        <v>0</v>
      </c>
      <c r="I525">
        <v>0</v>
      </c>
      <c r="K525">
        <v>8276.4</v>
      </c>
      <c r="L525">
        <v>0</v>
      </c>
      <c r="N525">
        <v>3762</v>
      </c>
    </row>
    <row r="526" spans="1:16">
      <c r="A526" t="s">
        <v>15</v>
      </c>
      <c r="B526">
        <v>291</v>
      </c>
      <c r="C526">
        <v>18</v>
      </c>
      <c r="D526" t="s">
        <v>31</v>
      </c>
      <c r="E526" t="s">
        <v>17</v>
      </c>
      <c r="F526">
        <v>338037.64</v>
      </c>
      <c r="H526">
        <v>0</v>
      </c>
      <c r="I526">
        <v>0</v>
      </c>
      <c r="K526">
        <v>217120.42</v>
      </c>
      <c r="L526">
        <v>0</v>
      </c>
      <c r="N526">
        <v>120917.22</v>
      </c>
      <c r="P526" t="s">
        <v>585</v>
      </c>
    </row>
    <row r="527" spans="1:16">
      <c r="A527" t="s">
        <v>15</v>
      </c>
      <c r="B527">
        <v>291</v>
      </c>
      <c r="C527">
        <v>102</v>
      </c>
      <c r="D527" t="s">
        <v>66</v>
      </c>
      <c r="E527" t="s">
        <v>17</v>
      </c>
      <c r="F527">
        <v>48395.6</v>
      </c>
      <c r="H527">
        <v>0</v>
      </c>
      <c r="I527">
        <v>0</v>
      </c>
      <c r="K527">
        <v>34092.400000000001</v>
      </c>
      <c r="L527">
        <v>0</v>
      </c>
      <c r="N527">
        <v>14303.2</v>
      </c>
      <c r="P527" t="s">
        <v>586</v>
      </c>
    </row>
    <row r="528" spans="1:16">
      <c r="A528" t="s">
        <v>15</v>
      </c>
      <c r="B528">
        <v>291</v>
      </c>
      <c r="C528">
        <v>104</v>
      </c>
      <c r="D528" t="s">
        <v>34</v>
      </c>
      <c r="E528" t="s">
        <v>17</v>
      </c>
      <c r="F528">
        <v>4081.56</v>
      </c>
      <c r="H528">
        <v>0</v>
      </c>
      <c r="I528">
        <v>0</v>
      </c>
      <c r="K528">
        <v>2951.68</v>
      </c>
      <c r="L528">
        <v>0</v>
      </c>
      <c r="N528">
        <v>1129.8800000000001</v>
      </c>
      <c r="P528" t="s">
        <v>587</v>
      </c>
    </row>
    <row r="529" spans="1:16">
      <c r="A529" t="s">
        <v>15</v>
      </c>
      <c r="B529">
        <v>291</v>
      </c>
      <c r="C529">
        <v>117</v>
      </c>
      <c r="D529" t="s">
        <v>338</v>
      </c>
      <c r="E529" t="s">
        <v>17</v>
      </c>
      <c r="F529">
        <v>1000000</v>
      </c>
      <c r="H529">
        <v>0</v>
      </c>
      <c r="I529">
        <v>0</v>
      </c>
      <c r="K529">
        <v>4804932.5999999996</v>
      </c>
      <c r="L529">
        <v>0</v>
      </c>
      <c r="N529">
        <v>-3804932.6</v>
      </c>
      <c r="P529" t="s">
        <v>588</v>
      </c>
    </row>
    <row r="530" spans="1:16">
      <c r="A530" t="s">
        <v>15</v>
      </c>
      <c r="B530">
        <v>291</v>
      </c>
      <c r="C530">
        <v>123</v>
      </c>
      <c r="D530" t="s">
        <v>187</v>
      </c>
      <c r="E530" t="s">
        <v>17</v>
      </c>
      <c r="F530">
        <v>400000</v>
      </c>
      <c r="H530">
        <v>0</v>
      </c>
      <c r="I530">
        <v>0</v>
      </c>
      <c r="K530">
        <v>308164.64</v>
      </c>
      <c r="L530">
        <v>0</v>
      </c>
      <c r="N530">
        <v>91835.36</v>
      </c>
      <c r="P530" t="s">
        <v>589</v>
      </c>
    </row>
    <row r="531" spans="1:16">
      <c r="A531" t="s">
        <v>15</v>
      </c>
      <c r="B531">
        <v>291</v>
      </c>
      <c r="C531">
        <v>127</v>
      </c>
      <c r="D531" t="s">
        <v>507</v>
      </c>
      <c r="E531" t="s">
        <v>17</v>
      </c>
      <c r="F531">
        <v>1000</v>
      </c>
      <c r="H531">
        <v>0</v>
      </c>
      <c r="I531">
        <v>0</v>
      </c>
      <c r="K531">
        <v>82.98</v>
      </c>
      <c r="L531">
        <v>0</v>
      </c>
      <c r="N531">
        <v>917.02</v>
      </c>
      <c r="P531" t="s">
        <v>590</v>
      </c>
    </row>
    <row r="532" spans="1:16">
      <c r="A532" t="s">
        <v>15</v>
      </c>
      <c r="B532">
        <v>291</v>
      </c>
      <c r="C532">
        <v>135</v>
      </c>
      <c r="D532" t="s">
        <v>189</v>
      </c>
      <c r="E532" t="s">
        <v>17</v>
      </c>
      <c r="F532">
        <v>200000</v>
      </c>
      <c r="H532">
        <v>0</v>
      </c>
      <c r="I532">
        <v>0</v>
      </c>
      <c r="K532">
        <v>170386.04</v>
      </c>
      <c r="L532">
        <v>0</v>
      </c>
      <c r="N532">
        <v>29613.96</v>
      </c>
      <c r="P532" t="s">
        <v>591</v>
      </c>
    </row>
    <row r="533" spans="1:16">
      <c r="A533" t="s">
        <v>15</v>
      </c>
      <c r="B533">
        <v>291</v>
      </c>
      <c r="C533">
        <v>175</v>
      </c>
      <c r="D533" t="s">
        <v>195</v>
      </c>
      <c r="E533" t="s">
        <v>17</v>
      </c>
      <c r="F533">
        <v>5000</v>
      </c>
      <c r="H533">
        <v>0</v>
      </c>
      <c r="I533">
        <v>0</v>
      </c>
      <c r="K533">
        <v>9768.07</v>
      </c>
      <c r="L533">
        <v>0</v>
      </c>
      <c r="N533">
        <v>-4768.07</v>
      </c>
      <c r="P533" t="s">
        <v>592</v>
      </c>
    </row>
    <row r="534" spans="1:16">
      <c r="A534" t="s">
        <v>15</v>
      </c>
      <c r="B534">
        <v>291</v>
      </c>
      <c r="C534">
        <v>195</v>
      </c>
      <c r="D534" t="s">
        <v>38</v>
      </c>
      <c r="E534" t="s">
        <v>17</v>
      </c>
      <c r="F534">
        <v>5000</v>
      </c>
      <c r="H534">
        <v>0</v>
      </c>
      <c r="I534">
        <v>0</v>
      </c>
      <c r="K534">
        <v>3523.87</v>
      </c>
      <c r="L534">
        <v>0</v>
      </c>
      <c r="N534">
        <v>1476.13</v>
      </c>
      <c r="P534" t="s">
        <v>593</v>
      </c>
    </row>
    <row r="535" spans="1:16">
      <c r="A535" t="s">
        <v>15</v>
      </c>
      <c r="B535">
        <v>291</v>
      </c>
      <c r="C535">
        <v>210</v>
      </c>
      <c r="D535" t="s">
        <v>44</v>
      </c>
      <c r="E535" t="s">
        <v>17</v>
      </c>
      <c r="F535">
        <v>9558645.8499999996</v>
      </c>
      <c r="H535">
        <v>0</v>
      </c>
      <c r="I535">
        <v>0</v>
      </c>
      <c r="K535">
        <v>0</v>
      </c>
      <c r="L535">
        <v>0</v>
      </c>
      <c r="N535">
        <v>9558645.8499999996</v>
      </c>
    </row>
    <row r="536" spans="1:16">
      <c r="A536" t="s">
        <v>15</v>
      </c>
      <c r="B536">
        <v>291</v>
      </c>
      <c r="C536">
        <v>256</v>
      </c>
      <c r="D536" t="s">
        <v>350</v>
      </c>
      <c r="E536" t="s">
        <v>17</v>
      </c>
      <c r="F536">
        <v>5000000</v>
      </c>
      <c r="H536">
        <v>0</v>
      </c>
      <c r="I536">
        <v>0</v>
      </c>
      <c r="K536">
        <v>4221848.96</v>
      </c>
      <c r="L536">
        <v>0</v>
      </c>
      <c r="N536">
        <v>778151.04</v>
      </c>
      <c r="P536" t="s">
        <v>594</v>
      </c>
    </row>
    <row r="537" spans="1:16">
      <c r="A537" t="s">
        <v>15</v>
      </c>
      <c r="B537">
        <v>291</v>
      </c>
      <c r="C537">
        <v>262</v>
      </c>
      <c r="D537" t="s">
        <v>212</v>
      </c>
      <c r="E537" t="s">
        <v>17</v>
      </c>
      <c r="F537">
        <v>159000</v>
      </c>
      <c r="H537">
        <v>0</v>
      </c>
      <c r="I537">
        <v>0</v>
      </c>
      <c r="K537">
        <v>1017.72</v>
      </c>
      <c r="L537">
        <v>0</v>
      </c>
      <c r="N537">
        <v>157982.28</v>
      </c>
      <c r="P537" t="s">
        <v>595</v>
      </c>
    </row>
    <row r="538" spans="1:16">
      <c r="A538" t="s">
        <v>15</v>
      </c>
      <c r="B538">
        <v>291</v>
      </c>
      <c r="C538">
        <v>270</v>
      </c>
      <c r="D538" t="s">
        <v>596</v>
      </c>
      <c r="E538" t="s">
        <v>17</v>
      </c>
      <c r="F538">
        <v>432000</v>
      </c>
      <c r="H538">
        <v>0</v>
      </c>
      <c r="I538">
        <v>0</v>
      </c>
      <c r="K538">
        <v>230745.8</v>
      </c>
      <c r="L538">
        <v>0</v>
      </c>
      <c r="N538">
        <v>201254.2</v>
      </c>
      <c r="P538" t="s">
        <v>597</v>
      </c>
    </row>
    <row r="539" spans="1:16">
      <c r="A539" t="s">
        <v>15</v>
      </c>
      <c r="B539">
        <v>291</v>
      </c>
      <c r="C539">
        <v>278</v>
      </c>
      <c r="D539" t="s">
        <v>218</v>
      </c>
      <c r="E539" t="s">
        <v>17</v>
      </c>
      <c r="F539">
        <v>300</v>
      </c>
      <c r="H539">
        <v>0</v>
      </c>
      <c r="I539">
        <v>0</v>
      </c>
      <c r="K539">
        <v>306.20999999999998</v>
      </c>
      <c r="L539">
        <v>0</v>
      </c>
      <c r="N539">
        <v>-6.21</v>
      </c>
      <c r="P539" t="s">
        <v>598</v>
      </c>
    </row>
    <row r="540" spans="1:16">
      <c r="A540" t="s">
        <v>15</v>
      </c>
      <c r="B540">
        <v>291</v>
      </c>
      <c r="C540">
        <v>280</v>
      </c>
      <c r="D540" t="s">
        <v>551</v>
      </c>
      <c r="E540" t="s">
        <v>17</v>
      </c>
      <c r="F540">
        <v>1600000</v>
      </c>
      <c r="H540">
        <v>0</v>
      </c>
      <c r="I540">
        <v>0</v>
      </c>
      <c r="K540">
        <v>245612.96</v>
      </c>
      <c r="L540">
        <v>0</v>
      </c>
      <c r="N540">
        <v>1354387.04</v>
      </c>
      <c r="P540" t="s">
        <v>599</v>
      </c>
    </row>
    <row r="541" spans="1:16">
      <c r="A541" t="s">
        <v>15</v>
      </c>
      <c r="B541">
        <v>291</v>
      </c>
      <c r="C541">
        <v>284</v>
      </c>
      <c r="D541" t="s">
        <v>221</v>
      </c>
      <c r="E541" t="s">
        <v>17</v>
      </c>
      <c r="F541">
        <v>263000</v>
      </c>
      <c r="H541">
        <v>0</v>
      </c>
      <c r="I541">
        <v>0</v>
      </c>
      <c r="K541">
        <v>186661.58</v>
      </c>
      <c r="L541">
        <v>0</v>
      </c>
      <c r="N541">
        <v>76338.42</v>
      </c>
      <c r="P541" t="s">
        <v>600</v>
      </c>
    </row>
    <row r="542" spans="1:16">
      <c r="A542" t="s">
        <v>15</v>
      </c>
      <c r="B542">
        <v>291</v>
      </c>
      <c r="C542">
        <v>294</v>
      </c>
      <c r="D542" t="s">
        <v>601</v>
      </c>
      <c r="E542" t="s">
        <v>17</v>
      </c>
      <c r="F542">
        <v>570000</v>
      </c>
      <c r="H542">
        <v>0</v>
      </c>
      <c r="I542">
        <v>0</v>
      </c>
      <c r="K542">
        <v>237170</v>
      </c>
      <c r="L542">
        <v>0</v>
      </c>
      <c r="N542">
        <v>332830</v>
      </c>
      <c r="P542" t="s">
        <v>602</v>
      </c>
    </row>
    <row r="543" spans="1:16">
      <c r="A543" t="s">
        <v>15</v>
      </c>
      <c r="B543">
        <v>291</v>
      </c>
      <c r="C543">
        <v>350</v>
      </c>
      <c r="D543" t="s">
        <v>603</v>
      </c>
      <c r="E543" t="s">
        <v>17</v>
      </c>
      <c r="F543">
        <v>1970009.32</v>
      </c>
      <c r="H543">
        <v>0</v>
      </c>
      <c r="I543">
        <v>0</v>
      </c>
      <c r="K543">
        <v>0</v>
      </c>
      <c r="L543">
        <v>0</v>
      </c>
      <c r="N543">
        <v>1970009.32</v>
      </c>
    </row>
    <row r="544" spans="1:16">
      <c r="A544" t="s">
        <v>15</v>
      </c>
      <c r="B544">
        <v>291</v>
      </c>
      <c r="C544">
        <v>352</v>
      </c>
      <c r="D544" t="s">
        <v>604</v>
      </c>
      <c r="E544" t="s">
        <v>17</v>
      </c>
      <c r="F544">
        <v>0</v>
      </c>
      <c r="H544">
        <v>0</v>
      </c>
      <c r="I544">
        <v>0</v>
      </c>
      <c r="K544">
        <v>225000</v>
      </c>
      <c r="L544">
        <v>0</v>
      </c>
      <c r="N544">
        <v>-225000</v>
      </c>
    </row>
    <row r="545" spans="1:16">
      <c r="A545" t="s">
        <v>15</v>
      </c>
      <c r="B545">
        <v>291</v>
      </c>
      <c r="C545">
        <v>461</v>
      </c>
      <c r="D545" t="s">
        <v>484</v>
      </c>
      <c r="E545" t="s">
        <v>17</v>
      </c>
      <c r="F545">
        <v>600000</v>
      </c>
      <c r="H545">
        <v>0</v>
      </c>
      <c r="I545">
        <v>0</v>
      </c>
      <c r="K545">
        <v>183681.54</v>
      </c>
      <c r="L545">
        <v>0</v>
      </c>
      <c r="N545">
        <v>416318.46</v>
      </c>
      <c r="P545" t="s">
        <v>605</v>
      </c>
    </row>
    <row r="546" spans="1:16">
      <c r="A546" t="s">
        <v>15</v>
      </c>
      <c r="B546">
        <v>291</v>
      </c>
      <c r="C546">
        <v>463</v>
      </c>
      <c r="D546" t="s">
        <v>606</v>
      </c>
      <c r="E546" t="s">
        <v>17</v>
      </c>
      <c r="F546">
        <v>0</v>
      </c>
      <c r="H546">
        <v>0</v>
      </c>
      <c r="I546">
        <v>0</v>
      </c>
      <c r="K546">
        <v>67118.41</v>
      </c>
      <c r="L546">
        <v>0</v>
      </c>
      <c r="N546">
        <v>-67118.41</v>
      </c>
      <c r="P546" t="s">
        <v>607</v>
      </c>
    </row>
    <row r="547" spans="1:16">
      <c r="A547" t="s">
        <v>15</v>
      </c>
      <c r="B547">
        <v>291</v>
      </c>
      <c r="C547">
        <v>8877</v>
      </c>
      <c r="D547" t="s">
        <v>147</v>
      </c>
      <c r="E547" t="s">
        <v>46</v>
      </c>
      <c r="F547">
        <v>-3693940.97</v>
      </c>
      <c r="H547">
        <v>0</v>
      </c>
      <c r="I547">
        <v>0</v>
      </c>
      <c r="K547">
        <v>0</v>
      </c>
      <c r="L547">
        <v>0</v>
      </c>
      <c r="N547">
        <v>-3693940.97</v>
      </c>
    </row>
    <row r="548" spans="1:16">
      <c r="A548" t="s">
        <v>15</v>
      </c>
      <c r="B548">
        <v>291</v>
      </c>
      <c r="C548">
        <v>8879</v>
      </c>
      <c r="D548" t="s">
        <v>608</v>
      </c>
      <c r="E548" t="s">
        <v>46</v>
      </c>
      <c r="F548">
        <v>-1970009.32</v>
      </c>
      <c r="H548">
        <v>0</v>
      </c>
      <c r="I548">
        <v>0</v>
      </c>
      <c r="K548">
        <v>0</v>
      </c>
      <c r="L548">
        <v>0</v>
      </c>
      <c r="N548">
        <v>-1970009.32</v>
      </c>
    </row>
    <row r="549" spans="1:16">
      <c r="A549" t="s">
        <v>15</v>
      </c>
      <c r="B549">
        <v>291</v>
      </c>
      <c r="C549">
        <v>8950</v>
      </c>
      <c r="D549" t="s">
        <v>364</v>
      </c>
      <c r="E549" t="s">
        <v>17</v>
      </c>
      <c r="F549">
        <v>-18426789.41</v>
      </c>
      <c r="H549">
        <v>0</v>
      </c>
      <c r="I549">
        <v>0</v>
      </c>
      <c r="K549">
        <v>0</v>
      </c>
      <c r="L549">
        <v>-14997633.18</v>
      </c>
      <c r="N549">
        <v>-3429156.23</v>
      </c>
      <c r="P549" t="s">
        <v>609</v>
      </c>
    </row>
    <row r="550" spans="1:16">
      <c r="A550" t="s">
        <v>15</v>
      </c>
      <c r="B550">
        <v>291</v>
      </c>
      <c r="C550">
        <v>8987</v>
      </c>
      <c r="D550" t="s">
        <v>610</v>
      </c>
      <c r="E550" t="s">
        <v>46</v>
      </c>
      <c r="F550">
        <v>-5460.81</v>
      </c>
      <c r="H550">
        <v>0</v>
      </c>
      <c r="I550">
        <v>0</v>
      </c>
      <c r="K550">
        <v>0</v>
      </c>
      <c r="L550">
        <v>-7756.8</v>
      </c>
      <c r="N550">
        <v>2295.9899999999998</v>
      </c>
      <c r="P550" t="s">
        <v>611</v>
      </c>
    </row>
    <row r="551" spans="1:16">
      <c r="C551" t="s">
        <v>612</v>
      </c>
      <c r="D551" t="s">
        <v>613</v>
      </c>
      <c r="F551" t="s">
        <v>52</v>
      </c>
      <c r="G551">
        <v>4231703.5</v>
      </c>
      <c r="I551">
        <v>0</v>
      </c>
      <c r="J551">
        <v>0</v>
      </c>
      <c r="L551">
        <v>15390872.6</v>
      </c>
      <c r="M551">
        <v>-15005389.98</v>
      </c>
      <c r="O551">
        <v>3846220.88</v>
      </c>
    </row>
    <row r="552" spans="1:16">
      <c r="H552" t="s">
        <v>53</v>
      </c>
      <c r="I552">
        <v>0</v>
      </c>
      <c r="K552" t="s">
        <v>54</v>
      </c>
      <c r="L552">
        <v>385482.62</v>
      </c>
    </row>
    <row r="554" spans="1:16">
      <c r="A554" t="s">
        <v>15</v>
      </c>
      <c r="B554">
        <v>293</v>
      </c>
      <c r="C554">
        <v>1</v>
      </c>
      <c r="D554" t="s">
        <v>16</v>
      </c>
      <c r="E554" t="s">
        <v>46</v>
      </c>
      <c r="F554">
        <v>4844484.5</v>
      </c>
      <c r="H554">
        <v>0</v>
      </c>
      <c r="I554">
        <v>0</v>
      </c>
      <c r="K554">
        <v>3297087.08</v>
      </c>
      <c r="L554">
        <v>0</v>
      </c>
      <c r="N554">
        <v>1547397.42</v>
      </c>
      <c r="P554" t="s">
        <v>614</v>
      </c>
    </row>
    <row r="555" spans="1:16">
      <c r="A555" t="s">
        <v>15</v>
      </c>
      <c r="B555">
        <v>293</v>
      </c>
      <c r="C555">
        <v>3</v>
      </c>
      <c r="D555" t="s">
        <v>56</v>
      </c>
      <c r="E555" t="s">
        <v>17</v>
      </c>
      <c r="F555">
        <v>26000</v>
      </c>
      <c r="H555">
        <v>0</v>
      </c>
      <c r="I555">
        <v>0</v>
      </c>
      <c r="K555">
        <v>23000</v>
      </c>
      <c r="L555">
        <v>0</v>
      </c>
      <c r="N555">
        <v>3000</v>
      </c>
      <c r="P555" t="s">
        <v>615</v>
      </c>
    </row>
    <row r="556" spans="1:16">
      <c r="A556" t="s">
        <v>15</v>
      </c>
      <c r="B556">
        <v>293</v>
      </c>
      <c r="C556">
        <v>4</v>
      </c>
      <c r="D556" t="s">
        <v>58</v>
      </c>
      <c r="E556" t="s">
        <v>17</v>
      </c>
      <c r="F556">
        <v>16471.28</v>
      </c>
      <c r="H556">
        <v>0</v>
      </c>
      <c r="I556">
        <v>0</v>
      </c>
      <c r="K556">
        <v>11640.5</v>
      </c>
      <c r="L556">
        <v>0</v>
      </c>
      <c r="N556">
        <v>4830.78</v>
      </c>
      <c r="P556" t="s">
        <v>616</v>
      </c>
    </row>
    <row r="557" spans="1:16">
      <c r="A557" t="s">
        <v>15</v>
      </c>
      <c r="B557">
        <v>293</v>
      </c>
      <c r="C557">
        <v>6</v>
      </c>
      <c r="D557" t="s">
        <v>19</v>
      </c>
      <c r="E557" t="s">
        <v>17</v>
      </c>
      <c r="F557">
        <v>113578.24000000001</v>
      </c>
      <c r="H557">
        <v>0</v>
      </c>
      <c r="I557">
        <v>0</v>
      </c>
      <c r="K557">
        <v>82209.009999999995</v>
      </c>
      <c r="L557">
        <v>0</v>
      </c>
      <c r="N557">
        <v>31369.23</v>
      </c>
      <c r="P557" t="s">
        <v>617</v>
      </c>
    </row>
    <row r="558" spans="1:16">
      <c r="A558" t="s">
        <v>15</v>
      </c>
      <c r="B558">
        <v>293</v>
      </c>
      <c r="C558">
        <v>8</v>
      </c>
      <c r="D558" t="s">
        <v>173</v>
      </c>
      <c r="E558" t="s">
        <v>17</v>
      </c>
      <c r="F558">
        <v>952458.02</v>
      </c>
      <c r="H558">
        <v>0</v>
      </c>
      <c r="I558">
        <v>0</v>
      </c>
      <c r="K558">
        <v>733498.96</v>
      </c>
      <c r="L558">
        <v>0</v>
      </c>
      <c r="N558">
        <v>218959.06</v>
      </c>
      <c r="P558" t="s">
        <v>618</v>
      </c>
    </row>
    <row r="559" spans="1:16">
      <c r="A559" t="s">
        <v>15</v>
      </c>
      <c r="B559">
        <v>293</v>
      </c>
      <c r="C559">
        <v>10</v>
      </c>
      <c r="D559" t="s">
        <v>22</v>
      </c>
      <c r="E559" t="s">
        <v>17</v>
      </c>
      <c r="F559">
        <v>636913.42000000004</v>
      </c>
      <c r="H559">
        <v>0</v>
      </c>
      <c r="I559">
        <v>0</v>
      </c>
      <c r="K559">
        <v>449907.55</v>
      </c>
      <c r="L559">
        <v>0</v>
      </c>
      <c r="N559">
        <v>187005.87</v>
      </c>
      <c r="P559" t="s">
        <v>619</v>
      </c>
    </row>
    <row r="560" spans="1:16">
      <c r="A560" t="s">
        <v>15</v>
      </c>
      <c r="B560">
        <v>293</v>
      </c>
      <c r="C560">
        <v>11</v>
      </c>
      <c r="D560" t="s">
        <v>24</v>
      </c>
      <c r="E560" t="s">
        <v>17</v>
      </c>
      <c r="F560">
        <v>27517.119999999999</v>
      </c>
      <c r="H560">
        <v>0</v>
      </c>
      <c r="I560">
        <v>0</v>
      </c>
      <c r="K560">
        <v>17781.7</v>
      </c>
      <c r="L560">
        <v>0</v>
      </c>
      <c r="N560">
        <v>9735.42</v>
      </c>
      <c r="P560" t="s">
        <v>620</v>
      </c>
    </row>
    <row r="561" spans="1:16">
      <c r="A561" t="s">
        <v>15</v>
      </c>
      <c r="B561">
        <v>293</v>
      </c>
      <c r="C561">
        <v>13</v>
      </c>
      <c r="D561" t="s">
        <v>273</v>
      </c>
      <c r="E561" t="s">
        <v>17</v>
      </c>
      <c r="F561">
        <v>495897.42</v>
      </c>
      <c r="H561">
        <v>0</v>
      </c>
      <c r="I561">
        <v>0</v>
      </c>
      <c r="K561">
        <v>369220.15</v>
      </c>
      <c r="L561">
        <v>0</v>
      </c>
      <c r="N561">
        <v>126677.27</v>
      </c>
      <c r="P561" t="s">
        <v>621</v>
      </c>
    </row>
    <row r="562" spans="1:16">
      <c r="A562" t="s">
        <v>15</v>
      </c>
      <c r="B562">
        <v>293</v>
      </c>
      <c r="C562">
        <v>14</v>
      </c>
      <c r="D562" t="s">
        <v>25</v>
      </c>
      <c r="E562" t="s">
        <v>17</v>
      </c>
      <c r="F562">
        <v>328852</v>
      </c>
      <c r="H562">
        <v>0</v>
      </c>
      <c r="I562">
        <v>0</v>
      </c>
      <c r="K562">
        <v>230190</v>
      </c>
      <c r="L562">
        <v>0</v>
      </c>
      <c r="N562">
        <v>98662</v>
      </c>
      <c r="P562" t="s">
        <v>622</v>
      </c>
    </row>
    <row r="563" spans="1:16">
      <c r="A563" t="s">
        <v>15</v>
      </c>
      <c r="B563">
        <v>293</v>
      </c>
      <c r="C563">
        <v>16</v>
      </c>
      <c r="D563" t="s">
        <v>27</v>
      </c>
      <c r="E563" t="s">
        <v>17</v>
      </c>
      <c r="F563">
        <v>47938.34</v>
      </c>
      <c r="H563">
        <v>0</v>
      </c>
      <c r="I563">
        <v>0</v>
      </c>
      <c r="K563">
        <v>34422.76</v>
      </c>
      <c r="L563">
        <v>0</v>
      </c>
      <c r="N563">
        <v>13515.58</v>
      </c>
      <c r="P563" t="s">
        <v>623</v>
      </c>
    </row>
    <row r="564" spans="1:16">
      <c r="A564" t="s">
        <v>15</v>
      </c>
      <c r="B564">
        <v>293</v>
      </c>
      <c r="C564">
        <v>17</v>
      </c>
      <c r="D564" t="s">
        <v>29</v>
      </c>
      <c r="E564" t="s">
        <v>17</v>
      </c>
      <c r="F564">
        <v>69867.600000000006</v>
      </c>
      <c r="H564">
        <v>0</v>
      </c>
      <c r="I564">
        <v>0</v>
      </c>
      <c r="K564">
        <v>50724.03</v>
      </c>
      <c r="L564">
        <v>0</v>
      </c>
      <c r="N564">
        <v>19143.57</v>
      </c>
      <c r="P564" t="s">
        <v>624</v>
      </c>
    </row>
    <row r="565" spans="1:16">
      <c r="A565" t="s">
        <v>15</v>
      </c>
      <c r="B565">
        <v>293</v>
      </c>
      <c r="C565">
        <v>18</v>
      </c>
      <c r="D565" t="s">
        <v>31</v>
      </c>
      <c r="E565" t="s">
        <v>17</v>
      </c>
      <c r="F565">
        <v>311498.36</v>
      </c>
      <c r="H565">
        <v>0</v>
      </c>
      <c r="I565">
        <v>0</v>
      </c>
      <c r="K565">
        <v>252377.24</v>
      </c>
      <c r="L565">
        <v>0</v>
      </c>
      <c r="N565">
        <v>59121.120000000003</v>
      </c>
      <c r="P565" t="s">
        <v>625</v>
      </c>
    </row>
    <row r="566" spans="1:16">
      <c r="A566" t="s">
        <v>15</v>
      </c>
      <c r="B566">
        <v>293</v>
      </c>
      <c r="C566">
        <v>102</v>
      </c>
      <c r="D566" t="s">
        <v>66</v>
      </c>
      <c r="E566" t="s">
        <v>17</v>
      </c>
      <c r="F566">
        <v>62475.8</v>
      </c>
      <c r="H566">
        <v>0</v>
      </c>
      <c r="I566">
        <v>0</v>
      </c>
      <c r="K566">
        <v>45363.21</v>
      </c>
      <c r="L566">
        <v>0</v>
      </c>
      <c r="N566">
        <v>17112.59</v>
      </c>
      <c r="P566" t="s">
        <v>626</v>
      </c>
    </row>
    <row r="567" spans="1:16">
      <c r="A567" t="s">
        <v>15</v>
      </c>
      <c r="B567">
        <v>293</v>
      </c>
      <c r="C567">
        <v>104</v>
      </c>
      <c r="D567" t="s">
        <v>34</v>
      </c>
      <c r="E567" t="s">
        <v>17</v>
      </c>
      <c r="F567">
        <v>3690.76</v>
      </c>
      <c r="H567">
        <v>0</v>
      </c>
      <c r="I567">
        <v>0</v>
      </c>
      <c r="K567">
        <v>2585.06</v>
      </c>
      <c r="L567">
        <v>0</v>
      </c>
      <c r="N567">
        <v>1105.7</v>
      </c>
      <c r="P567" t="s">
        <v>627</v>
      </c>
    </row>
    <row r="568" spans="1:16">
      <c r="A568" t="s">
        <v>15</v>
      </c>
      <c r="B568">
        <v>293</v>
      </c>
      <c r="C568">
        <v>117</v>
      </c>
      <c r="D568" t="s">
        <v>338</v>
      </c>
      <c r="E568" t="s">
        <v>17</v>
      </c>
      <c r="F568">
        <v>7805000</v>
      </c>
      <c r="H568">
        <v>0</v>
      </c>
      <c r="I568">
        <v>0</v>
      </c>
      <c r="K568">
        <v>10280537.029999999</v>
      </c>
      <c r="L568">
        <v>0</v>
      </c>
      <c r="N568">
        <v>-2475537.0299999998</v>
      </c>
      <c r="P568" t="s">
        <v>628</v>
      </c>
    </row>
    <row r="569" spans="1:16">
      <c r="A569" t="s">
        <v>15</v>
      </c>
      <c r="B569">
        <v>293</v>
      </c>
      <c r="C569">
        <v>123</v>
      </c>
      <c r="D569" t="s">
        <v>187</v>
      </c>
      <c r="E569" t="s">
        <v>17</v>
      </c>
      <c r="F569">
        <v>350000</v>
      </c>
      <c r="H569">
        <v>0</v>
      </c>
      <c r="I569">
        <v>0</v>
      </c>
      <c r="K569">
        <v>304865.84000000003</v>
      </c>
      <c r="L569">
        <v>0</v>
      </c>
      <c r="N569">
        <v>45134.16</v>
      </c>
      <c r="P569" t="s">
        <v>629</v>
      </c>
    </row>
    <row r="570" spans="1:16">
      <c r="A570" t="s">
        <v>15</v>
      </c>
      <c r="B570">
        <v>293</v>
      </c>
      <c r="C570">
        <v>127</v>
      </c>
      <c r="D570" t="s">
        <v>507</v>
      </c>
      <c r="E570" t="s">
        <v>17</v>
      </c>
      <c r="F570">
        <v>3000000</v>
      </c>
      <c r="H570">
        <v>0</v>
      </c>
      <c r="I570">
        <v>0</v>
      </c>
      <c r="K570">
        <v>1101922</v>
      </c>
      <c r="L570">
        <v>0</v>
      </c>
      <c r="N570">
        <v>1898078</v>
      </c>
      <c r="P570" t="s">
        <v>630</v>
      </c>
    </row>
    <row r="571" spans="1:16">
      <c r="A571" t="s">
        <v>15</v>
      </c>
      <c r="B571">
        <v>293</v>
      </c>
      <c r="C571">
        <v>135</v>
      </c>
      <c r="D571" t="s">
        <v>189</v>
      </c>
      <c r="E571" t="s">
        <v>17</v>
      </c>
      <c r="F571">
        <v>5500000</v>
      </c>
      <c r="H571">
        <v>0</v>
      </c>
      <c r="I571">
        <v>0</v>
      </c>
      <c r="K571">
        <v>4677949.45</v>
      </c>
      <c r="L571">
        <v>0</v>
      </c>
      <c r="N571">
        <v>822050.55</v>
      </c>
      <c r="P571" t="s">
        <v>631</v>
      </c>
    </row>
    <row r="572" spans="1:16">
      <c r="A572" t="s">
        <v>15</v>
      </c>
      <c r="B572">
        <v>293</v>
      </c>
      <c r="C572">
        <v>175</v>
      </c>
      <c r="D572" t="s">
        <v>195</v>
      </c>
      <c r="E572" t="s">
        <v>17</v>
      </c>
      <c r="F572">
        <v>512000</v>
      </c>
      <c r="H572">
        <v>0</v>
      </c>
      <c r="I572">
        <v>0</v>
      </c>
      <c r="K572">
        <v>125249.48</v>
      </c>
      <c r="L572">
        <v>0</v>
      </c>
      <c r="N572">
        <v>386750.52</v>
      </c>
      <c r="P572" t="s">
        <v>632</v>
      </c>
    </row>
    <row r="573" spans="1:16">
      <c r="A573" t="s">
        <v>15</v>
      </c>
      <c r="B573">
        <v>293</v>
      </c>
      <c r="C573">
        <v>193</v>
      </c>
      <c r="D573" t="s">
        <v>36</v>
      </c>
      <c r="E573" t="s">
        <v>17</v>
      </c>
      <c r="F573">
        <v>500000</v>
      </c>
      <c r="H573">
        <v>0</v>
      </c>
      <c r="I573">
        <v>0</v>
      </c>
      <c r="K573">
        <v>127945.06</v>
      </c>
      <c r="L573">
        <v>0</v>
      </c>
      <c r="N573">
        <v>372054.94</v>
      </c>
      <c r="P573" t="s">
        <v>633</v>
      </c>
    </row>
    <row r="574" spans="1:16">
      <c r="A574" t="s">
        <v>15</v>
      </c>
      <c r="B574">
        <v>293</v>
      </c>
      <c r="C574">
        <v>195</v>
      </c>
      <c r="D574" t="s">
        <v>38</v>
      </c>
      <c r="E574" t="s">
        <v>17</v>
      </c>
      <c r="F574">
        <v>58000</v>
      </c>
      <c r="H574">
        <v>0</v>
      </c>
      <c r="I574">
        <v>0</v>
      </c>
      <c r="K574">
        <v>43037.27</v>
      </c>
      <c r="L574">
        <v>0</v>
      </c>
      <c r="N574">
        <v>14962.73</v>
      </c>
      <c r="P574" t="s">
        <v>634</v>
      </c>
    </row>
    <row r="575" spans="1:16">
      <c r="A575" t="s">
        <v>15</v>
      </c>
      <c r="B575">
        <v>293</v>
      </c>
      <c r="C575">
        <v>200</v>
      </c>
      <c r="D575" t="s">
        <v>635</v>
      </c>
      <c r="E575" t="s">
        <v>17</v>
      </c>
      <c r="F575">
        <v>60000</v>
      </c>
      <c r="H575">
        <v>0</v>
      </c>
      <c r="I575">
        <v>0</v>
      </c>
      <c r="K575">
        <v>29237.55</v>
      </c>
      <c r="L575">
        <v>0</v>
      </c>
      <c r="N575">
        <v>30762.45</v>
      </c>
      <c r="P575" t="s">
        <v>636</v>
      </c>
    </row>
    <row r="576" spans="1:16">
      <c r="A576" t="s">
        <v>15</v>
      </c>
      <c r="B576">
        <v>293</v>
      </c>
      <c r="C576">
        <v>204</v>
      </c>
      <c r="D576" t="s">
        <v>637</v>
      </c>
      <c r="E576" t="s">
        <v>17</v>
      </c>
      <c r="F576">
        <v>7000</v>
      </c>
      <c r="H576">
        <v>0</v>
      </c>
      <c r="I576">
        <v>0</v>
      </c>
      <c r="K576">
        <v>3924.89</v>
      </c>
      <c r="L576">
        <v>0</v>
      </c>
      <c r="N576">
        <v>3075.11</v>
      </c>
    </row>
    <row r="577" spans="1:16">
      <c r="A577" t="s">
        <v>15</v>
      </c>
      <c r="B577">
        <v>293</v>
      </c>
      <c r="C577">
        <v>208</v>
      </c>
      <c r="D577" t="s">
        <v>207</v>
      </c>
      <c r="E577" t="s">
        <v>17</v>
      </c>
      <c r="F577">
        <v>0</v>
      </c>
      <c r="H577">
        <v>0</v>
      </c>
      <c r="I577">
        <v>0</v>
      </c>
      <c r="K577">
        <v>146.82</v>
      </c>
      <c r="L577">
        <v>0</v>
      </c>
      <c r="N577">
        <v>-146.82</v>
      </c>
      <c r="P577" t="s">
        <v>638</v>
      </c>
    </row>
    <row r="578" spans="1:16">
      <c r="A578" t="s">
        <v>15</v>
      </c>
      <c r="B578">
        <v>293</v>
      </c>
      <c r="C578">
        <v>210</v>
      </c>
      <c r="D578" t="s">
        <v>44</v>
      </c>
      <c r="E578" t="s">
        <v>17</v>
      </c>
      <c r="F578">
        <v>5887206.6699999999</v>
      </c>
      <c r="H578">
        <v>0</v>
      </c>
      <c r="I578">
        <v>0</v>
      </c>
      <c r="K578">
        <v>0</v>
      </c>
      <c r="L578">
        <v>0</v>
      </c>
      <c r="N578">
        <v>5887206.6699999999</v>
      </c>
    </row>
    <row r="579" spans="1:16">
      <c r="A579" t="s">
        <v>15</v>
      </c>
      <c r="B579">
        <v>293</v>
      </c>
      <c r="C579">
        <v>255</v>
      </c>
      <c r="D579" t="s">
        <v>639</v>
      </c>
      <c r="E579" t="s">
        <v>17</v>
      </c>
      <c r="F579">
        <v>200000</v>
      </c>
      <c r="H579">
        <v>0</v>
      </c>
      <c r="I579">
        <v>0</v>
      </c>
      <c r="K579">
        <v>1476.05</v>
      </c>
      <c r="L579">
        <v>0</v>
      </c>
      <c r="N579">
        <v>198523.95</v>
      </c>
      <c r="P579" t="s">
        <v>640</v>
      </c>
    </row>
    <row r="580" spans="1:16">
      <c r="A580" t="s">
        <v>15</v>
      </c>
      <c r="B580">
        <v>293</v>
      </c>
      <c r="C580">
        <v>256</v>
      </c>
      <c r="D580" t="s">
        <v>350</v>
      </c>
      <c r="E580" t="s">
        <v>17</v>
      </c>
      <c r="F580">
        <v>8098000</v>
      </c>
      <c r="H580">
        <v>0</v>
      </c>
      <c r="I580">
        <v>0</v>
      </c>
      <c r="K580">
        <v>5891911.1100000003</v>
      </c>
      <c r="L580">
        <v>0</v>
      </c>
      <c r="N580">
        <v>2206088.89</v>
      </c>
      <c r="P580" t="s">
        <v>641</v>
      </c>
    </row>
    <row r="581" spans="1:16">
      <c r="A581" t="s">
        <v>15</v>
      </c>
      <c r="B581">
        <v>293</v>
      </c>
      <c r="C581">
        <v>257</v>
      </c>
      <c r="D581" t="s">
        <v>642</v>
      </c>
      <c r="E581" t="s">
        <v>17</v>
      </c>
      <c r="F581">
        <v>3500000</v>
      </c>
      <c r="H581">
        <v>0</v>
      </c>
      <c r="I581">
        <v>0</v>
      </c>
      <c r="K581">
        <v>4804648.13</v>
      </c>
      <c r="L581">
        <v>0</v>
      </c>
      <c r="N581">
        <v>-1304648.1299999999</v>
      </c>
      <c r="P581" t="s">
        <v>643</v>
      </c>
    </row>
    <row r="582" spans="1:16">
      <c r="A582" t="s">
        <v>15</v>
      </c>
      <c r="B582">
        <v>293</v>
      </c>
      <c r="C582">
        <v>264</v>
      </c>
      <c r="D582" t="s">
        <v>644</v>
      </c>
      <c r="E582" t="s">
        <v>17</v>
      </c>
      <c r="F582">
        <v>1700</v>
      </c>
      <c r="H582">
        <v>0</v>
      </c>
      <c r="I582">
        <v>0</v>
      </c>
      <c r="K582">
        <v>1306.6400000000001</v>
      </c>
      <c r="L582">
        <v>0</v>
      </c>
      <c r="N582">
        <v>393.36</v>
      </c>
    </row>
    <row r="583" spans="1:16">
      <c r="A583" t="s">
        <v>15</v>
      </c>
      <c r="B583">
        <v>293</v>
      </c>
      <c r="C583">
        <v>265</v>
      </c>
      <c r="D583" t="s">
        <v>645</v>
      </c>
      <c r="E583" t="s">
        <v>17</v>
      </c>
      <c r="F583">
        <v>1084000</v>
      </c>
      <c r="H583">
        <v>0</v>
      </c>
      <c r="I583">
        <v>0</v>
      </c>
      <c r="K583">
        <v>1025855.36</v>
      </c>
      <c r="L583">
        <v>0</v>
      </c>
      <c r="N583">
        <v>58144.639999999999</v>
      </c>
    </row>
    <row r="584" spans="1:16">
      <c r="A584" t="s">
        <v>15</v>
      </c>
      <c r="B584">
        <v>293</v>
      </c>
      <c r="C584">
        <v>270</v>
      </c>
      <c r="D584" t="s">
        <v>596</v>
      </c>
      <c r="E584" t="s">
        <v>17</v>
      </c>
      <c r="F584">
        <v>3638346.88</v>
      </c>
      <c r="H584">
        <v>0</v>
      </c>
      <c r="I584">
        <v>0</v>
      </c>
      <c r="K584">
        <v>1918231.52</v>
      </c>
      <c r="L584">
        <v>0</v>
      </c>
      <c r="N584">
        <v>1720115.36</v>
      </c>
      <c r="P584" t="s">
        <v>646</v>
      </c>
    </row>
    <row r="585" spans="1:16">
      <c r="A585" t="s">
        <v>15</v>
      </c>
      <c r="B585">
        <v>293</v>
      </c>
      <c r="C585">
        <v>272</v>
      </c>
      <c r="D585" t="s">
        <v>647</v>
      </c>
      <c r="E585" t="s">
        <v>17</v>
      </c>
      <c r="F585">
        <v>0</v>
      </c>
      <c r="H585">
        <v>0</v>
      </c>
      <c r="I585">
        <v>0</v>
      </c>
      <c r="K585">
        <v>79000</v>
      </c>
      <c r="L585">
        <v>0</v>
      </c>
      <c r="N585">
        <v>-79000</v>
      </c>
    </row>
    <row r="586" spans="1:16">
      <c r="A586" t="s">
        <v>15</v>
      </c>
      <c r="B586">
        <v>293</v>
      </c>
      <c r="C586">
        <v>278</v>
      </c>
      <c r="D586" t="s">
        <v>218</v>
      </c>
      <c r="E586" t="s">
        <v>17</v>
      </c>
      <c r="F586">
        <v>50000</v>
      </c>
      <c r="H586">
        <v>0</v>
      </c>
      <c r="I586">
        <v>0</v>
      </c>
      <c r="K586">
        <v>196065.53</v>
      </c>
      <c r="L586">
        <v>0</v>
      </c>
      <c r="N586">
        <v>-146065.53</v>
      </c>
      <c r="P586" t="s">
        <v>648</v>
      </c>
    </row>
    <row r="587" spans="1:16">
      <c r="A587" t="s">
        <v>15</v>
      </c>
      <c r="B587">
        <v>293</v>
      </c>
      <c r="C587">
        <v>280</v>
      </c>
      <c r="D587" t="s">
        <v>551</v>
      </c>
      <c r="E587" t="s">
        <v>17</v>
      </c>
      <c r="F587">
        <v>1259000</v>
      </c>
      <c r="H587">
        <v>0</v>
      </c>
      <c r="I587">
        <v>0</v>
      </c>
      <c r="K587">
        <v>678574.62</v>
      </c>
      <c r="L587">
        <v>0</v>
      </c>
      <c r="N587">
        <v>580425.38</v>
      </c>
      <c r="P587" t="s">
        <v>649</v>
      </c>
    </row>
    <row r="588" spans="1:16">
      <c r="A588" t="s">
        <v>15</v>
      </c>
      <c r="B588">
        <v>293</v>
      </c>
      <c r="C588">
        <v>284</v>
      </c>
      <c r="D588" t="s">
        <v>221</v>
      </c>
      <c r="E588" t="s">
        <v>17</v>
      </c>
      <c r="F588">
        <v>43000</v>
      </c>
      <c r="H588">
        <v>0</v>
      </c>
      <c r="I588">
        <v>0</v>
      </c>
      <c r="K588">
        <v>44985.91</v>
      </c>
      <c r="L588">
        <v>0</v>
      </c>
      <c r="N588">
        <v>-1985.91</v>
      </c>
      <c r="P588" t="s">
        <v>650</v>
      </c>
    </row>
    <row r="589" spans="1:16">
      <c r="A589" t="s">
        <v>15</v>
      </c>
      <c r="B589">
        <v>293</v>
      </c>
      <c r="C589">
        <v>291</v>
      </c>
      <c r="D589" t="s">
        <v>651</v>
      </c>
      <c r="E589" t="s">
        <v>17</v>
      </c>
      <c r="F589">
        <v>400000</v>
      </c>
      <c r="H589">
        <v>0</v>
      </c>
      <c r="I589">
        <v>0</v>
      </c>
      <c r="K589">
        <v>67489.47</v>
      </c>
      <c r="L589">
        <v>0</v>
      </c>
      <c r="N589">
        <v>332510.53000000003</v>
      </c>
    </row>
    <row r="590" spans="1:16">
      <c r="A590" t="s">
        <v>15</v>
      </c>
      <c r="B590">
        <v>293</v>
      </c>
      <c r="C590">
        <v>374</v>
      </c>
      <c r="D590" t="s">
        <v>652</v>
      </c>
      <c r="E590" t="s">
        <v>17</v>
      </c>
      <c r="F590">
        <v>3272778.81</v>
      </c>
      <c r="H590">
        <v>0</v>
      </c>
      <c r="I590">
        <v>0</v>
      </c>
      <c r="K590">
        <v>0</v>
      </c>
      <c r="L590">
        <v>0</v>
      </c>
      <c r="N590">
        <v>3272778.81</v>
      </c>
      <c r="P590" t="s">
        <v>653</v>
      </c>
    </row>
    <row r="591" spans="1:16">
      <c r="A591" t="s">
        <v>15</v>
      </c>
      <c r="B591">
        <v>293</v>
      </c>
      <c r="C591">
        <v>440</v>
      </c>
      <c r="D591" t="s">
        <v>654</v>
      </c>
      <c r="E591" t="s">
        <v>361</v>
      </c>
      <c r="F591">
        <v>13816438.560000001</v>
      </c>
      <c r="H591">
        <v>2428156.29</v>
      </c>
      <c r="I591">
        <v>0</v>
      </c>
      <c r="K591">
        <v>0</v>
      </c>
      <c r="L591">
        <v>0</v>
      </c>
      <c r="N591">
        <v>11388282.27</v>
      </c>
    </row>
    <row r="592" spans="1:16">
      <c r="A592" t="s">
        <v>15</v>
      </c>
      <c r="B592">
        <v>293</v>
      </c>
      <c r="C592">
        <v>450</v>
      </c>
      <c r="D592" t="s">
        <v>655</v>
      </c>
      <c r="E592" t="s">
        <v>17</v>
      </c>
      <c r="F592">
        <v>1000000</v>
      </c>
      <c r="H592">
        <v>0</v>
      </c>
      <c r="I592">
        <v>0</v>
      </c>
      <c r="K592">
        <v>0</v>
      </c>
      <c r="L592">
        <v>0</v>
      </c>
      <c r="N592">
        <v>1000000</v>
      </c>
    </row>
    <row r="593" spans="1:16">
      <c r="A593" t="s">
        <v>15</v>
      </c>
      <c r="B593">
        <v>293</v>
      </c>
      <c r="C593">
        <v>461</v>
      </c>
      <c r="D593" t="s">
        <v>484</v>
      </c>
      <c r="E593" t="s">
        <v>17</v>
      </c>
      <c r="F593">
        <v>1000000</v>
      </c>
      <c r="H593">
        <v>0</v>
      </c>
      <c r="I593">
        <v>0</v>
      </c>
      <c r="K593">
        <v>328743.34000000003</v>
      </c>
      <c r="L593">
        <v>0</v>
      </c>
      <c r="N593">
        <v>671256.66</v>
      </c>
      <c r="P593" t="s">
        <v>656</v>
      </c>
    </row>
    <row r="594" spans="1:16">
      <c r="A594" t="s">
        <v>15</v>
      </c>
      <c r="B594">
        <v>293</v>
      </c>
      <c r="C594">
        <v>463</v>
      </c>
      <c r="D594" t="s">
        <v>657</v>
      </c>
      <c r="E594" t="s">
        <v>17</v>
      </c>
      <c r="F594">
        <v>1213552.1200000001</v>
      </c>
      <c r="H594">
        <v>0</v>
      </c>
      <c r="I594">
        <v>0</v>
      </c>
      <c r="K594">
        <v>0</v>
      </c>
      <c r="L594">
        <v>0</v>
      </c>
      <c r="N594">
        <v>1213552.1200000001</v>
      </c>
    </row>
    <row r="595" spans="1:16">
      <c r="A595" t="s">
        <v>15</v>
      </c>
      <c r="B595">
        <v>293</v>
      </c>
      <c r="C595">
        <v>8831</v>
      </c>
      <c r="D595" t="s">
        <v>658</v>
      </c>
      <c r="E595" t="s">
        <v>46</v>
      </c>
      <c r="F595">
        <v>-284000</v>
      </c>
      <c r="H595">
        <v>0</v>
      </c>
      <c r="I595">
        <v>0</v>
      </c>
      <c r="K595">
        <v>0</v>
      </c>
      <c r="L595">
        <v>0</v>
      </c>
      <c r="N595">
        <v>-284000</v>
      </c>
    </row>
    <row r="596" spans="1:16">
      <c r="A596" t="s">
        <v>15</v>
      </c>
      <c r="B596">
        <v>293</v>
      </c>
      <c r="C596">
        <v>8877</v>
      </c>
      <c r="D596" t="s">
        <v>147</v>
      </c>
      <c r="E596" t="s">
        <v>46</v>
      </c>
      <c r="F596">
        <v>-3594051.58</v>
      </c>
      <c r="H596">
        <v>0</v>
      </c>
      <c r="I596">
        <v>0</v>
      </c>
      <c r="K596">
        <v>0</v>
      </c>
      <c r="L596">
        <v>0</v>
      </c>
      <c r="N596">
        <v>-3594051.58</v>
      </c>
    </row>
    <row r="597" spans="1:16">
      <c r="A597" t="s">
        <v>15</v>
      </c>
      <c r="B597">
        <v>293</v>
      </c>
      <c r="C597">
        <v>8879</v>
      </c>
      <c r="D597" t="s">
        <v>659</v>
      </c>
      <c r="E597" t="s">
        <v>46</v>
      </c>
      <c r="F597">
        <v>-18029990.68</v>
      </c>
      <c r="H597">
        <v>0</v>
      </c>
      <c r="I597">
        <v>0</v>
      </c>
      <c r="K597">
        <v>0</v>
      </c>
      <c r="L597">
        <v>0</v>
      </c>
      <c r="N597">
        <v>-18029990.68</v>
      </c>
    </row>
    <row r="598" spans="1:16">
      <c r="A598" t="s">
        <v>15</v>
      </c>
      <c r="B598">
        <v>293</v>
      </c>
      <c r="C598">
        <v>8911</v>
      </c>
      <c r="D598" t="s">
        <v>567</v>
      </c>
      <c r="E598" t="s">
        <v>46</v>
      </c>
      <c r="F598">
        <v>-15632.74</v>
      </c>
      <c r="H598">
        <v>0</v>
      </c>
      <c r="I598">
        <v>0</v>
      </c>
      <c r="K598">
        <v>0</v>
      </c>
      <c r="L598">
        <v>-13620.16</v>
      </c>
      <c r="N598">
        <v>-2012.58</v>
      </c>
      <c r="P598" t="s">
        <v>660</v>
      </c>
    </row>
    <row r="599" spans="1:16">
      <c r="A599" t="s">
        <v>15</v>
      </c>
      <c r="B599">
        <v>293</v>
      </c>
      <c r="C599">
        <v>8951</v>
      </c>
      <c r="D599" t="s">
        <v>570</v>
      </c>
      <c r="E599" t="s">
        <v>17</v>
      </c>
      <c r="F599">
        <v>-39220000</v>
      </c>
      <c r="H599">
        <v>0</v>
      </c>
      <c r="I599">
        <v>0</v>
      </c>
      <c r="K599">
        <v>0</v>
      </c>
      <c r="L599">
        <v>-32083085.219999999</v>
      </c>
      <c r="N599">
        <v>-7136914.7800000003</v>
      </c>
      <c r="P599" t="s">
        <v>661</v>
      </c>
    </row>
    <row r="600" spans="1:16">
      <c r="C600" t="s">
        <v>662</v>
      </c>
      <c r="D600" t="s">
        <v>663</v>
      </c>
      <c r="F600" t="s">
        <v>52</v>
      </c>
      <c r="G600">
        <v>9049990.9000000004</v>
      </c>
      <c r="I600">
        <v>2428156.29</v>
      </c>
      <c r="J600">
        <v>0</v>
      </c>
      <c r="L600">
        <v>37333110.32</v>
      </c>
      <c r="M600">
        <v>-32096705.379999999</v>
      </c>
      <c r="O600">
        <v>1385429.67</v>
      </c>
    </row>
    <row r="601" spans="1:16">
      <c r="H601" t="s">
        <v>53</v>
      </c>
      <c r="I601">
        <v>2428156.29</v>
      </c>
      <c r="K601" t="s">
        <v>54</v>
      </c>
      <c r="L601">
        <v>5236404.9400000004</v>
      </c>
    </row>
    <row r="603" spans="1:16">
      <c r="A603" t="s">
        <v>15</v>
      </c>
      <c r="B603">
        <v>301</v>
      </c>
      <c r="C603">
        <v>7</v>
      </c>
      <c r="D603" t="s">
        <v>664</v>
      </c>
      <c r="E603" t="s">
        <v>665</v>
      </c>
      <c r="F603">
        <v>0</v>
      </c>
      <c r="H603">
        <v>0</v>
      </c>
      <c r="I603">
        <v>-89544210.890000001</v>
      </c>
      <c r="K603">
        <v>0</v>
      </c>
      <c r="L603">
        <v>0</v>
      </c>
      <c r="N603">
        <v>89544210.890000001</v>
      </c>
    </row>
    <row r="604" spans="1:16">
      <c r="A604" t="s">
        <v>15</v>
      </c>
      <c r="B604">
        <v>301</v>
      </c>
      <c r="C604">
        <v>8</v>
      </c>
      <c r="D604" t="s">
        <v>666</v>
      </c>
      <c r="E604" t="s">
        <v>665</v>
      </c>
      <c r="F604">
        <v>0</v>
      </c>
      <c r="H604">
        <v>0</v>
      </c>
      <c r="I604">
        <v>-48550676.039999999</v>
      </c>
      <c r="K604">
        <v>0</v>
      </c>
      <c r="L604">
        <v>0</v>
      </c>
      <c r="N604">
        <v>48550676.039999999</v>
      </c>
    </row>
    <row r="605" spans="1:16">
      <c r="A605" t="s">
        <v>15</v>
      </c>
      <c r="B605">
        <v>301</v>
      </c>
      <c r="C605">
        <v>9</v>
      </c>
      <c r="D605" t="s">
        <v>667</v>
      </c>
      <c r="E605" t="s">
        <v>665</v>
      </c>
      <c r="F605">
        <v>0</v>
      </c>
      <c r="H605">
        <v>0</v>
      </c>
      <c r="I605">
        <v>-12952595.869999999</v>
      </c>
      <c r="K605">
        <v>0</v>
      </c>
      <c r="L605">
        <v>0</v>
      </c>
      <c r="N605">
        <v>12952595.869999999</v>
      </c>
    </row>
    <row r="606" spans="1:16">
      <c r="A606" t="s">
        <v>15</v>
      </c>
      <c r="B606">
        <v>301</v>
      </c>
      <c r="C606">
        <v>13</v>
      </c>
      <c r="D606" t="s">
        <v>668</v>
      </c>
      <c r="E606" t="s">
        <v>665</v>
      </c>
      <c r="F606">
        <v>0</v>
      </c>
      <c r="H606">
        <v>0</v>
      </c>
      <c r="I606">
        <v>-446810371.22000003</v>
      </c>
      <c r="K606">
        <v>0</v>
      </c>
      <c r="L606">
        <v>0</v>
      </c>
      <c r="N606">
        <v>446810371.22000003</v>
      </c>
    </row>
    <row r="607" spans="1:16">
      <c r="A607" t="s">
        <v>15</v>
      </c>
      <c r="B607">
        <v>301</v>
      </c>
      <c r="C607">
        <v>26</v>
      </c>
      <c r="D607" t="s">
        <v>669</v>
      </c>
      <c r="E607" t="s">
        <v>665</v>
      </c>
      <c r="F607">
        <v>0</v>
      </c>
      <c r="H607">
        <v>0</v>
      </c>
      <c r="I607">
        <v>-12349983.720000001</v>
      </c>
      <c r="K607">
        <v>0</v>
      </c>
      <c r="L607">
        <v>0</v>
      </c>
      <c r="N607">
        <v>12349983.720000001</v>
      </c>
    </row>
    <row r="608" spans="1:16">
      <c r="A608" t="s">
        <v>15</v>
      </c>
      <c r="B608">
        <v>301</v>
      </c>
      <c r="C608">
        <v>48</v>
      </c>
      <c r="D608" t="s">
        <v>670</v>
      </c>
      <c r="E608" t="s">
        <v>665</v>
      </c>
      <c r="F608">
        <v>0</v>
      </c>
      <c r="H608">
        <v>0</v>
      </c>
      <c r="I608">
        <v>-72115.27</v>
      </c>
      <c r="K608">
        <v>0</v>
      </c>
      <c r="L608">
        <v>0</v>
      </c>
      <c r="N608">
        <v>72115.27</v>
      </c>
    </row>
    <row r="609" spans="1:16">
      <c r="A609" t="s">
        <v>15</v>
      </c>
      <c r="B609">
        <v>301</v>
      </c>
      <c r="C609">
        <v>50</v>
      </c>
      <c r="D609" t="s">
        <v>671</v>
      </c>
      <c r="E609" t="s">
        <v>665</v>
      </c>
      <c r="F609">
        <v>0</v>
      </c>
      <c r="H609">
        <v>0</v>
      </c>
      <c r="I609">
        <v>-4116081.77</v>
      </c>
      <c r="K609">
        <v>0</v>
      </c>
      <c r="L609">
        <v>0</v>
      </c>
      <c r="N609">
        <v>4116081.77</v>
      </c>
    </row>
    <row r="610" spans="1:16">
      <c r="A610" t="s">
        <v>15</v>
      </c>
      <c r="B610">
        <v>301</v>
      </c>
      <c r="C610">
        <v>54</v>
      </c>
      <c r="D610" t="s">
        <v>672</v>
      </c>
      <c r="E610" t="s">
        <v>665</v>
      </c>
      <c r="F610">
        <v>0</v>
      </c>
      <c r="H610">
        <v>0</v>
      </c>
      <c r="I610">
        <v>-6811654.8700000001</v>
      </c>
      <c r="K610">
        <v>0</v>
      </c>
      <c r="L610">
        <v>0</v>
      </c>
      <c r="N610">
        <v>6811654.8700000001</v>
      </c>
    </row>
    <row r="611" spans="1:16">
      <c r="A611" t="s">
        <v>15</v>
      </c>
      <c r="B611">
        <v>301</v>
      </c>
      <c r="C611">
        <v>56</v>
      </c>
      <c r="D611" t="s">
        <v>673</v>
      </c>
      <c r="E611" t="s">
        <v>665</v>
      </c>
      <c r="F611">
        <v>0</v>
      </c>
      <c r="H611">
        <v>0</v>
      </c>
      <c r="I611">
        <v>-1165676.4099999999</v>
      </c>
      <c r="K611">
        <v>0</v>
      </c>
      <c r="L611">
        <v>0</v>
      </c>
      <c r="N611">
        <v>1165676.4099999999</v>
      </c>
    </row>
    <row r="612" spans="1:16">
      <c r="A612" t="s">
        <v>15</v>
      </c>
      <c r="B612">
        <v>301</v>
      </c>
      <c r="C612">
        <v>57</v>
      </c>
      <c r="D612" t="s">
        <v>674</v>
      </c>
      <c r="E612" t="s">
        <v>361</v>
      </c>
      <c r="F612">
        <v>0</v>
      </c>
      <c r="H612">
        <v>74037932.129999995</v>
      </c>
      <c r="I612">
        <v>0</v>
      </c>
      <c r="K612">
        <v>0</v>
      </c>
      <c r="L612">
        <v>0</v>
      </c>
      <c r="N612">
        <v>-74037932.129999995</v>
      </c>
    </row>
    <row r="613" spans="1:16">
      <c r="A613" t="s">
        <v>15</v>
      </c>
      <c r="B613">
        <v>301</v>
      </c>
      <c r="C613">
        <v>100</v>
      </c>
      <c r="D613" t="s">
        <v>675</v>
      </c>
      <c r="E613" t="s">
        <v>361</v>
      </c>
      <c r="F613">
        <v>0</v>
      </c>
      <c r="H613">
        <v>22700</v>
      </c>
      <c r="I613">
        <v>0</v>
      </c>
      <c r="K613">
        <v>0</v>
      </c>
      <c r="L613">
        <v>0</v>
      </c>
      <c r="N613">
        <v>-22700</v>
      </c>
    </row>
    <row r="614" spans="1:16">
      <c r="A614" t="s">
        <v>15</v>
      </c>
      <c r="B614">
        <v>301</v>
      </c>
      <c r="C614">
        <v>600007</v>
      </c>
      <c r="D614" t="s">
        <v>676</v>
      </c>
      <c r="E614" t="s">
        <v>361</v>
      </c>
      <c r="F614">
        <v>0</v>
      </c>
      <c r="H614">
        <v>143133600.66999999</v>
      </c>
      <c r="I614">
        <v>0</v>
      </c>
      <c r="K614">
        <v>0</v>
      </c>
      <c r="L614">
        <v>0</v>
      </c>
      <c r="N614">
        <v>-143133600.66999999</v>
      </c>
      <c r="P614" t="s">
        <v>677</v>
      </c>
    </row>
    <row r="615" spans="1:16">
      <c r="A615" t="s">
        <v>15</v>
      </c>
      <c r="B615">
        <v>301</v>
      </c>
      <c r="C615">
        <v>600008</v>
      </c>
      <c r="D615" t="s">
        <v>678</v>
      </c>
      <c r="E615" t="s">
        <v>361</v>
      </c>
      <c r="F615">
        <v>0</v>
      </c>
      <c r="H615">
        <v>109454038.29000001</v>
      </c>
      <c r="I615">
        <v>0</v>
      </c>
      <c r="K615">
        <v>0</v>
      </c>
      <c r="L615">
        <v>0</v>
      </c>
      <c r="N615">
        <v>-109454038.29000001</v>
      </c>
      <c r="P615" t="s">
        <v>679</v>
      </c>
    </row>
    <row r="616" spans="1:16">
      <c r="A616" t="s">
        <v>15</v>
      </c>
      <c r="B616">
        <v>301</v>
      </c>
      <c r="C616">
        <v>600009</v>
      </c>
      <c r="D616" t="s">
        <v>680</v>
      </c>
      <c r="E616" t="s">
        <v>361</v>
      </c>
      <c r="F616">
        <v>0</v>
      </c>
      <c r="H616">
        <v>30738866.73</v>
      </c>
      <c r="I616">
        <v>0</v>
      </c>
      <c r="K616">
        <v>0</v>
      </c>
      <c r="L616">
        <v>0</v>
      </c>
      <c r="N616">
        <v>-30738866.73</v>
      </c>
      <c r="P616" t="s">
        <v>681</v>
      </c>
    </row>
    <row r="617" spans="1:16">
      <c r="A617" t="s">
        <v>15</v>
      </c>
      <c r="B617">
        <v>301</v>
      </c>
      <c r="C617">
        <v>600013</v>
      </c>
      <c r="D617" t="s">
        <v>682</v>
      </c>
      <c r="E617" t="s">
        <v>361</v>
      </c>
      <c r="F617">
        <v>0</v>
      </c>
      <c r="H617">
        <v>665587163.78999996</v>
      </c>
      <c r="I617">
        <v>0</v>
      </c>
      <c r="K617">
        <v>0</v>
      </c>
      <c r="L617">
        <v>0</v>
      </c>
      <c r="N617">
        <v>-665587163.78999996</v>
      </c>
      <c r="P617" t="s">
        <v>683</v>
      </c>
    </row>
    <row r="618" spans="1:16">
      <c r="A618" t="s">
        <v>15</v>
      </c>
      <c r="B618">
        <v>301</v>
      </c>
      <c r="C618">
        <v>600026</v>
      </c>
      <c r="D618" t="s">
        <v>684</v>
      </c>
      <c r="E618" t="s">
        <v>361</v>
      </c>
      <c r="F618">
        <v>0</v>
      </c>
      <c r="H618">
        <v>19597933.300000001</v>
      </c>
      <c r="I618">
        <v>0</v>
      </c>
      <c r="K618">
        <v>0</v>
      </c>
      <c r="L618">
        <v>0</v>
      </c>
      <c r="N618">
        <v>-19597933.300000001</v>
      </c>
      <c r="P618" t="s">
        <v>685</v>
      </c>
    </row>
    <row r="619" spans="1:16">
      <c r="A619" t="s">
        <v>15</v>
      </c>
      <c r="B619">
        <v>301</v>
      </c>
      <c r="C619">
        <v>600048</v>
      </c>
      <c r="D619" t="s">
        <v>686</v>
      </c>
      <c r="E619" t="s">
        <v>361</v>
      </c>
      <c r="F619">
        <v>0</v>
      </c>
      <c r="H619">
        <v>99947.76</v>
      </c>
      <c r="I619">
        <v>0</v>
      </c>
      <c r="K619">
        <v>0</v>
      </c>
      <c r="L619">
        <v>0</v>
      </c>
      <c r="N619">
        <v>-99947.76</v>
      </c>
      <c r="P619" t="s">
        <v>687</v>
      </c>
    </row>
    <row r="620" spans="1:16">
      <c r="A620" t="s">
        <v>15</v>
      </c>
      <c r="B620">
        <v>301</v>
      </c>
      <c r="C620">
        <v>600050</v>
      </c>
      <c r="D620" t="s">
        <v>688</v>
      </c>
      <c r="E620" t="s">
        <v>361</v>
      </c>
      <c r="F620">
        <v>0</v>
      </c>
      <c r="H620">
        <v>16972966.629999999</v>
      </c>
      <c r="I620">
        <v>0</v>
      </c>
      <c r="K620">
        <v>0</v>
      </c>
      <c r="L620">
        <v>0</v>
      </c>
      <c r="N620">
        <v>-16972966.629999999</v>
      </c>
      <c r="P620" t="s">
        <v>689</v>
      </c>
    </row>
    <row r="621" spans="1:16">
      <c r="A621" t="s">
        <v>15</v>
      </c>
      <c r="B621">
        <v>301</v>
      </c>
      <c r="C621">
        <v>600052</v>
      </c>
      <c r="D621" t="s">
        <v>690</v>
      </c>
      <c r="E621" t="s">
        <v>361</v>
      </c>
      <c r="F621">
        <v>0</v>
      </c>
      <c r="H621">
        <v>101392410.27</v>
      </c>
      <c r="I621">
        <v>0</v>
      </c>
      <c r="K621">
        <v>0</v>
      </c>
      <c r="L621">
        <v>0</v>
      </c>
      <c r="N621">
        <v>-101392410.27</v>
      </c>
      <c r="P621" t="s">
        <v>691</v>
      </c>
    </row>
    <row r="622" spans="1:16">
      <c r="A622" t="s">
        <v>15</v>
      </c>
      <c r="B622">
        <v>301</v>
      </c>
      <c r="C622">
        <v>600054</v>
      </c>
      <c r="D622" t="s">
        <v>692</v>
      </c>
      <c r="E622" t="s">
        <v>361</v>
      </c>
      <c r="F622">
        <v>0</v>
      </c>
      <c r="H622">
        <v>40136441.5</v>
      </c>
      <c r="I622">
        <v>0</v>
      </c>
      <c r="K622">
        <v>0</v>
      </c>
      <c r="L622">
        <v>0</v>
      </c>
      <c r="N622">
        <v>-40136441.5</v>
      </c>
      <c r="P622" t="s">
        <v>693</v>
      </c>
    </row>
    <row r="623" spans="1:16">
      <c r="A623" t="s">
        <v>15</v>
      </c>
      <c r="B623">
        <v>301</v>
      </c>
      <c r="C623">
        <v>600056</v>
      </c>
      <c r="D623" t="s">
        <v>694</v>
      </c>
      <c r="E623" t="s">
        <v>361</v>
      </c>
      <c r="F623">
        <v>0</v>
      </c>
      <c r="H623">
        <v>9143385.8000000007</v>
      </c>
      <c r="I623">
        <v>0</v>
      </c>
      <c r="K623">
        <v>0</v>
      </c>
      <c r="L623">
        <v>0</v>
      </c>
      <c r="N623">
        <v>-9143385.8000000007</v>
      </c>
      <c r="P623" t="s">
        <v>695</v>
      </c>
    </row>
    <row r="624" spans="1:16">
      <c r="A624" t="s">
        <v>15</v>
      </c>
      <c r="B624">
        <v>301</v>
      </c>
      <c r="C624">
        <v>600057</v>
      </c>
      <c r="D624" t="s">
        <v>696</v>
      </c>
      <c r="E624" t="s">
        <v>361</v>
      </c>
      <c r="F624">
        <v>0</v>
      </c>
      <c r="H624">
        <v>9556865.0700000003</v>
      </c>
      <c r="I624">
        <v>0</v>
      </c>
      <c r="K624">
        <v>0</v>
      </c>
      <c r="L624">
        <v>0</v>
      </c>
      <c r="N624">
        <v>-9556865.0700000003</v>
      </c>
    </row>
    <row r="625" spans="1:16">
      <c r="A625" t="s">
        <v>15</v>
      </c>
      <c r="B625">
        <v>301</v>
      </c>
      <c r="C625">
        <v>600151</v>
      </c>
      <c r="D625" t="s">
        <v>697</v>
      </c>
      <c r="E625" t="s">
        <v>361</v>
      </c>
      <c r="F625">
        <v>0</v>
      </c>
      <c r="H625">
        <v>1595263.84</v>
      </c>
      <c r="I625">
        <v>0</v>
      </c>
      <c r="K625">
        <v>0</v>
      </c>
      <c r="L625">
        <v>0</v>
      </c>
      <c r="N625">
        <v>-1595263.84</v>
      </c>
    </row>
    <row r="626" spans="1:16">
      <c r="C626" t="s">
        <v>698</v>
      </c>
      <c r="D626" t="s">
        <v>699</v>
      </c>
      <c r="F626" t="s">
        <v>52</v>
      </c>
      <c r="G626">
        <v>0</v>
      </c>
      <c r="I626">
        <v>1221469515.78</v>
      </c>
      <c r="J626">
        <v>-622373366.05999994</v>
      </c>
      <c r="L626">
        <v>0</v>
      </c>
      <c r="M626">
        <v>0</v>
      </c>
      <c r="O626">
        <v>-599096149.72000003</v>
      </c>
    </row>
    <row r="627" spans="1:16">
      <c r="H627" t="s">
        <v>53</v>
      </c>
      <c r="I627">
        <v>599096149.72000003</v>
      </c>
      <c r="K627" t="s">
        <v>54</v>
      </c>
      <c r="L627">
        <v>0</v>
      </c>
    </row>
    <row r="629" spans="1:16">
      <c r="A629" t="s">
        <v>15</v>
      </c>
      <c r="B629">
        <v>303</v>
      </c>
      <c r="C629">
        <v>600081</v>
      </c>
      <c r="D629" t="s">
        <v>700</v>
      </c>
      <c r="E629" t="s">
        <v>361</v>
      </c>
      <c r="F629">
        <v>0</v>
      </c>
      <c r="H629">
        <v>0</v>
      </c>
      <c r="I629">
        <v>-1156705.2</v>
      </c>
      <c r="K629">
        <v>0</v>
      </c>
      <c r="L629">
        <v>0</v>
      </c>
      <c r="N629">
        <v>1156705.2</v>
      </c>
      <c r="P629" t="s">
        <v>701</v>
      </c>
    </row>
    <row r="630" spans="1:16">
      <c r="A630" t="s">
        <v>15</v>
      </c>
      <c r="B630">
        <v>303</v>
      </c>
      <c r="C630">
        <v>600082</v>
      </c>
      <c r="D630" t="s">
        <v>702</v>
      </c>
      <c r="E630" t="s">
        <v>361</v>
      </c>
      <c r="F630">
        <v>0</v>
      </c>
      <c r="H630">
        <v>0</v>
      </c>
      <c r="I630">
        <v>-6968943.29</v>
      </c>
      <c r="K630">
        <v>0</v>
      </c>
      <c r="L630">
        <v>0</v>
      </c>
      <c r="N630">
        <v>6968943.29</v>
      </c>
      <c r="P630" t="s">
        <v>703</v>
      </c>
    </row>
    <row r="631" spans="1:16">
      <c r="A631" t="s">
        <v>15</v>
      </c>
      <c r="B631">
        <v>303</v>
      </c>
      <c r="C631">
        <v>600083</v>
      </c>
      <c r="D631" t="s">
        <v>704</v>
      </c>
      <c r="E631" t="s">
        <v>665</v>
      </c>
      <c r="F631">
        <v>0</v>
      </c>
      <c r="H631">
        <v>0</v>
      </c>
      <c r="I631">
        <v>-2185316.85</v>
      </c>
      <c r="K631">
        <v>0</v>
      </c>
      <c r="L631">
        <v>0</v>
      </c>
      <c r="N631">
        <v>2185316.85</v>
      </c>
    </row>
    <row r="632" spans="1:16">
      <c r="C632" t="s">
        <v>705</v>
      </c>
      <c r="D632" t="s">
        <v>706</v>
      </c>
      <c r="F632" t="s">
        <v>52</v>
      </c>
      <c r="G632">
        <v>0</v>
      </c>
      <c r="I632">
        <v>0</v>
      </c>
      <c r="J632">
        <v>-10310965.34</v>
      </c>
      <c r="L632">
        <v>0</v>
      </c>
      <c r="M632">
        <v>0</v>
      </c>
      <c r="O632">
        <v>10310965.34</v>
      </c>
    </row>
    <row r="633" spans="1:16">
      <c r="H633" t="s">
        <v>53</v>
      </c>
      <c r="I633">
        <v>-10310965.34</v>
      </c>
      <c r="K633" t="s">
        <v>54</v>
      </c>
      <c r="L633">
        <v>0</v>
      </c>
    </row>
    <row r="635" spans="1:16">
      <c r="A635" t="s">
        <v>15</v>
      </c>
      <c r="B635">
        <v>325</v>
      </c>
      <c r="C635">
        <v>600248</v>
      </c>
      <c r="D635" t="s">
        <v>707</v>
      </c>
      <c r="E635" t="s">
        <v>361</v>
      </c>
      <c r="F635">
        <v>0</v>
      </c>
      <c r="H635">
        <v>0</v>
      </c>
      <c r="I635">
        <v>-7010694.3200000003</v>
      </c>
      <c r="K635">
        <v>0</v>
      </c>
      <c r="L635">
        <v>0</v>
      </c>
      <c r="N635">
        <v>7010694.3200000003</v>
      </c>
      <c r="P635" t="s">
        <v>708</v>
      </c>
    </row>
    <row r="636" spans="1:16">
      <c r="C636" t="s">
        <v>709</v>
      </c>
      <c r="D636" t="s">
        <v>710</v>
      </c>
      <c r="F636" t="s">
        <v>52</v>
      </c>
      <c r="G636">
        <v>0</v>
      </c>
      <c r="I636">
        <v>0</v>
      </c>
      <c r="J636">
        <v>-7010694.3200000003</v>
      </c>
      <c r="L636">
        <v>0</v>
      </c>
      <c r="M636">
        <v>0</v>
      </c>
      <c r="O636">
        <v>7010694.3200000003</v>
      </c>
    </row>
    <row r="637" spans="1:16">
      <c r="H637" t="s">
        <v>53</v>
      </c>
      <c r="I637">
        <v>-7010694.3200000003</v>
      </c>
      <c r="K637" t="s">
        <v>54</v>
      </c>
      <c r="L637">
        <v>0</v>
      </c>
    </row>
    <row r="639" spans="1:16">
      <c r="A639" t="s">
        <v>15</v>
      </c>
      <c r="B639">
        <v>405</v>
      </c>
      <c r="C639">
        <v>600309</v>
      </c>
      <c r="D639" t="s">
        <v>711</v>
      </c>
      <c r="E639" t="s">
        <v>361</v>
      </c>
      <c r="F639">
        <v>0</v>
      </c>
      <c r="H639">
        <v>0.19</v>
      </c>
      <c r="I639">
        <v>0</v>
      </c>
      <c r="K639">
        <v>0</v>
      </c>
      <c r="L639">
        <v>0</v>
      </c>
      <c r="N639">
        <v>-0.19</v>
      </c>
    </row>
    <row r="640" spans="1:16">
      <c r="C640" t="s">
        <v>712</v>
      </c>
      <c r="D640" t="s">
        <v>713</v>
      </c>
      <c r="F640" t="s">
        <v>52</v>
      </c>
      <c r="G640">
        <v>0</v>
      </c>
      <c r="I640">
        <v>0.19</v>
      </c>
      <c r="J640">
        <v>0</v>
      </c>
      <c r="L640">
        <v>0</v>
      </c>
      <c r="M640">
        <v>0</v>
      </c>
      <c r="O640">
        <v>-0.19</v>
      </c>
    </row>
    <row r="641" spans="1:16">
      <c r="H641" t="s">
        <v>53</v>
      </c>
      <c r="I641">
        <v>0.19</v>
      </c>
      <c r="K641" t="s">
        <v>54</v>
      </c>
      <c r="L641">
        <v>0</v>
      </c>
    </row>
    <row r="643" spans="1:16">
      <c r="A643" t="s">
        <v>15</v>
      </c>
      <c r="B643">
        <v>410</v>
      </c>
      <c r="C643">
        <v>600323</v>
      </c>
      <c r="D643" t="s">
        <v>714</v>
      </c>
      <c r="E643" t="s">
        <v>665</v>
      </c>
      <c r="F643">
        <v>0</v>
      </c>
      <c r="H643">
        <v>0</v>
      </c>
      <c r="I643">
        <v>-3648000</v>
      </c>
      <c r="K643">
        <v>0</v>
      </c>
      <c r="L643">
        <v>0</v>
      </c>
      <c r="N643">
        <v>3648000</v>
      </c>
    </row>
    <row r="644" spans="1:16">
      <c r="A644" t="s">
        <v>15</v>
      </c>
      <c r="B644">
        <v>410</v>
      </c>
      <c r="C644">
        <v>600325</v>
      </c>
      <c r="D644" t="s">
        <v>715</v>
      </c>
      <c r="E644" t="s">
        <v>361</v>
      </c>
      <c r="F644">
        <v>0</v>
      </c>
      <c r="H644">
        <v>0</v>
      </c>
      <c r="I644" s="27">
        <v>-212980487.40000001</v>
      </c>
      <c r="K644">
        <v>0</v>
      </c>
      <c r="L644">
        <v>0</v>
      </c>
      <c r="N644">
        <v>212980487.40000001</v>
      </c>
      <c r="P644" t="s">
        <v>716</v>
      </c>
    </row>
    <row r="645" spans="1:16">
      <c r="A645" t="s">
        <v>15</v>
      </c>
      <c r="B645">
        <v>410</v>
      </c>
      <c r="C645">
        <v>600327</v>
      </c>
      <c r="D645" t="s">
        <v>717</v>
      </c>
      <c r="E645" t="s">
        <v>665</v>
      </c>
      <c r="F645">
        <v>0</v>
      </c>
      <c r="H645">
        <v>0</v>
      </c>
      <c r="I645">
        <v>-7789000</v>
      </c>
      <c r="K645">
        <v>0</v>
      </c>
      <c r="L645">
        <v>0</v>
      </c>
      <c r="N645">
        <v>7789000</v>
      </c>
    </row>
    <row r="646" spans="1:16">
      <c r="A646" t="s">
        <v>15</v>
      </c>
      <c r="B646">
        <v>410</v>
      </c>
      <c r="C646">
        <v>600329</v>
      </c>
      <c r="D646" t="s">
        <v>718</v>
      </c>
      <c r="E646" t="s">
        <v>665</v>
      </c>
      <c r="F646">
        <v>0</v>
      </c>
      <c r="H646">
        <v>0</v>
      </c>
      <c r="I646">
        <v>-3778956.46</v>
      </c>
      <c r="K646">
        <v>0</v>
      </c>
      <c r="L646">
        <v>0</v>
      </c>
      <c r="N646">
        <v>3778956.46</v>
      </c>
    </row>
    <row r="647" spans="1:16">
      <c r="C647" t="s">
        <v>719</v>
      </c>
      <c r="D647" t="s">
        <v>720</v>
      </c>
      <c r="F647" t="s">
        <v>52</v>
      </c>
      <c r="G647">
        <v>0</v>
      </c>
      <c r="I647">
        <v>0</v>
      </c>
      <c r="J647">
        <v>-228196443.86000001</v>
      </c>
      <c r="L647">
        <v>0</v>
      </c>
      <c r="M647">
        <v>0</v>
      </c>
      <c r="O647">
        <v>228196443.86000001</v>
      </c>
    </row>
    <row r="648" spans="1:16">
      <c r="H648" t="s">
        <v>53</v>
      </c>
      <c r="I648">
        <v>-228196443.86000001</v>
      </c>
      <c r="K648" t="s">
        <v>54</v>
      </c>
      <c r="L648">
        <v>0</v>
      </c>
    </row>
    <row r="650" spans="1:16">
      <c r="A650" t="s">
        <v>15</v>
      </c>
      <c r="B650">
        <v>500</v>
      </c>
      <c r="C650">
        <v>600361</v>
      </c>
      <c r="D650" t="s">
        <v>721</v>
      </c>
      <c r="E650" t="s">
        <v>361</v>
      </c>
      <c r="F650">
        <v>0</v>
      </c>
      <c r="H650">
        <v>29775.05</v>
      </c>
      <c r="I650">
        <v>0</v>
      </c>
      <c r="K650">
        <v>0</v>
      </c>
      <c r="L650">
        <v>0</v>
      </c>
      <c r="N650">
        <v>-29775.05</v>
      </c>
      <c r="P650" t="s">
        <v>722</v>
      </c>
    </row>
    <row r="651" spans="1:16">
      <c r="A651" t="s">
        <v>15</v>
      </c>
      <c r="B651">
        <v>500</v>
      </c>
      <c r="C651">
        <v>600362</v>
      </c>
      <c r="D651" t="s">
        <v>723</v>
      </c>
      <c r="E651" t="s">
        <v>361</v>
      </c>
      <c r="F651">
        <v>0</v>
      </c>
      <c r="H651">
        <v>826.3</v>
      </c>
      <c r="I651">
        <v>0</v>
      </c>
      <c r="K651">
        <v>0</v>
      </c>
      <c r="L651">
        <v>0</v>
      </c>
      <c r="N651">
        <v>-826.3</v>
      </c>
    </row>
    <row r="652" spans="1:16">
      <c r="C652" t="s">
        <v>724</v>
      </c>
      <c r="D652" t="s">
        <v>725</v>
      </c>
      <c r="F652" t="s">
        <v>52</v>
      </c>
      <c r="G652">
        <v>0</v>
      </c>
      <c r="I652">
        <v>30601.35</v>
      </c>
      <c r="J652">
        <v>0</v>
      </c>
      <c r="L652">
        <v>0</v>
      </c>
      <c r="M652">
        <v>0</v>
      </c>
      <c r="O652">
        <v>-30601.35</v>
      </c>
    </row>
    <row r="653" spans="1:16">
      <c r="H653" t="s">
        <v>53</v>
      </c>
      <c r="I653">
        <v>30601.35</v>
      </c>
      <c r="K653" t="s">
        <v>54</v>
      </c>
      <c r="L653">
        <v>0</v>
      </c>
    </row>
    <row r="655" spans="1:16">
      <c r="A655" t="s">
        <v>15</v>
      </c>
      <c r="B655">
        <v>501</v>
      </c>
      <c r="C655">
        <v>600395</v>
      </c>
      <c r="D655" t="s">
        <v>726</v>
      </c>
      <c r="E655" t="s">
        <v>361</v>
      </c>
      <c r="F655">
        <v>0</v>
      </c>
      <c r="H655">
        <v>1049159.1200000001</v>
      </c>
      <c r="I655">
        <v>0</v>
      </c>
      <c r="K655">
        <v>0</v>
      </c>
      <c r="L655">
        <v>0</v>
      </c>
      <c r="N655">
        <v>-1049159.1200000001</v>
      </c>
      <c r="P655" t="s">
        <v>727</v>
      </c>
    </row>
    <row r="656" spans="1:16">
      <c r="A656" t="s">
        <v>15</v>
      </c>
      <c r="B656">
        <v>501</v>
      </c>
      <c r="C656">
        <v>600396</v>
      </c>
      <c r="D656" t="s">
        <v>728</v>
      </c>
      <c r="E656" t="s">
        <v>361</v>
      </c>
      <c r="F656">
        <v>0</v>
      </c>
      <c r="H656">
        <v>479397.1</v>
      </c>
      <c r="I656">
        <v>0</v>
      </c>
      <c r="K656">
        <v>0</v>
      </c>
      <c r="L656">
        <v>0</v>
      </c>
      <c r="N656">
        <v>-479397.1</v>
      </c>
      <c r="P656" t="s">
        <v>729</v>
      </c>
    </row>
    <row r="657" spans="1:16">
      <c r="A657" t="s">
        <v>15</v>
      </c>
      <c r="B657">
        <v>501</v>
      </c>
      <c r="C657">
        <v>600417</v>
      </c>
      <c r="D657" t="s">
        <v>730</v>
      </c>
      <c r="E657" t="s">
        <v>361</v>
      </c>
      <c r="F657">
        <v>0</v>
      </c>
      <c r="H657">
        <v>252094053.09</v>
      </c>
      <c r="I657">
        <v>0</v>
      </c>
      <c r="K657">
        <v>0</v>
      </c>
      <c r="L657">
        <v>0</v>
      </c>
      <c r="N657">
        <v>-252094053.09</v>
      </c>
      <c r="P657" t="s">
        <v>731</v>
      </c>
    </row>
    <row r="658" spans="1:16">
      <c r="C658" t="s">
        <v>732</v>
      </c>
      <c r="D658" t="s">
        <v>733</v>
      </c>
      <c r="F658" t="s">
        <v>52</v>
      </c>
      <c r="G658">
        <v>0</v>
      </c>
      <c r="I658">
        <v>253622609.31</v>
      </c>
      <c r="J658">
        <v>0</v>
      </c>
      <c r="L658">
        <v>0</v>
      </c>
      <c r="M658">
        <v>0</v>
      </c>
      <c r="O658">
        <v>-253622609.31</v>
      </c>
    </row>
    <row r="659" spans="1:16">
      <c r="H659" t="s">
        <v>53</v>
      </c>
      <c r="I659">
        <v>253622609.31</v>
      </c>
      <c r="K659" t="s">
        <v>54</v>
      </c>
      <c r="L659">
        <v>0</v>
      </c>
    </row>
    <row r="661" spans="1:16">
      <c r="A661" t="s">
        <v>15</v>
      </c>
      <c r="B661">
        <v>504</v>
      </c>
      <c r="C661">
        <v>600451</v>
      </c>
      <c r="D661" t="s">
        <v>734</v>
      </c>
      <c r="E661" t="s">
        <v>361</v>
      </c>
      <c r="F661">
        <v>0</v>
      </c>
      <c r="H661">
        <v>580255.76</v>
      </c>
      <c r="I661">
        <v>0</v>
      </c>
      <c r="K661">
        <v>0</v>
      </c>
      <c r="L661">
        <v>0</v>
      </c>
      <c r="N661">
        <v>-580255.76</v>
      </c>
      <c r="P661" t="s">
        <v>735</v>
      </c>
    </row>
    <row r="662" spans="1:16">
      <c r="A662" t="s">
        <v>15</v>
      </c>
      <c r="B662">
        <v>504</v>
      </c>
      <c r="C662">
        <v>600452</v>
      </c>
      <c r="D662" t="s">
        <v>736</v>
      </c>
      <c r="E662" t="s">
        <v>361</v>
      </c>
      <c r="F662">
        <v>0</v>
      </c>
      <c r="H662">
        <v>157452.71</v>
      </c>
      <c r="I662">
        <v>0</v>
      </c>
      <c r="K662">
        <v>0</v>
      </c>
      <c r="L662">
        <v>0</v>
      </c>
      <c r="N662">
        <v>-157452.71</v>
      </c>
      <c r="P662" t="s">
        <v>737</v>
      </c>
    </row>
    <row r="663" spans="1:16">
      <c r="C663" t="s">
        <v>738</v>
      </c>
      <c r="D663" t="s">
        <v>739</v>
      </c>
      <c r="F663" t="s">
        <v>52</v>
      </c>
      <c r="G663">
        <v>0</v>
      </c>
      <c r="I663">
        <v>737708.47</v>
      </c>
      <c r="J663">
        <v>0</v>
      </c>
      <c r="L663">
        <v>0</v>
      </c>
      <c r="M663">
        <v>0</v>
      </c>
      <c r="O663">
        <v>-737708.47</v>
      </c>
    </row>
    <row r="664" spans="1:16">
      <c r="H664" t="s">
        <v>53</v>
      </c>
      <c r="I664">
        <v>737708.47</v>
      </c>
      <c r="K664" t="s">
        <v>54</v>
      </c>
      <c r="L664">
        <v>0</v>
      </c>
    </row>
    <row r="666" spans="1:16">
      <c r="A666" t="s">
        <v>15</v>
      </c>
      <c r="B666">
        <v>505</v>
      </c>
      <c r="C666">
        <v>600471</v>
      </c>
      <c r="D666" t="s">
        <v>740</v>
      </c>
      <c r="E666" t="s">
        <v>361</v>
      </c>
      <c r="F666">
        <v>0</v>
      </c>
      <c r="H666">
        <v>3945561.21</v>
      </c>
      <c r="I666">
        <v>0</v>
      </c>
      <c r="K666">
        <v>0</v>
      </c>
      <c r="L666">
        <v>0</v>
      </c>
      <c r="N666">
        <v>-3945561.21</v>
      </c>
      <c r="P666" t="s">
        <v>741</v>
      </c>
    </row>
    <row r="667" spans="1:16">
      <c r="A667" t="s">
        <v>15</v>
      </c>
      <c r="B667">
        <v>505</v>
      </c>
      <c r="C667">
        <v>600473</v>
      </c>
      <c r="D667" t="s">
        <v>742</v>
      </c>
      <c r="E667" t="s">
        <v>361</v>
      </c>
      <c r="F667">
        <v>0</v>
      </c>
      <c r="H667">
        <v>491184.93</v>
      </c>
      <c r="I667">
        <v>0</v>
      </c>
      <c r="K667">
        <v>0</v>
      </c>
      <c r="L667">
        <v>0</v>
      </c>
      <c r="N667">
        <v>-491184.93</v>
      </c>
      <c r="P667" t="s">
        <v>743</v>
      </c>
    </row>
    <row r="668" spans="1:16">
      <c r="A668" t="s">
        <v>15</v>
      </c>
      <c r="B668">
        <v>505</v>
      </c>
      <c r="C668">
        <v>600474</v>
      </c>
      <c r="D668" t="s">
        <v>744</v>
      </c>
      <c r="E668" t="s">
        <v>361</v>
      </c>
      <c r="F668">
        <v>0</v>
      </c>
      <c r="H668">
        <v>0.04</v>
      </c>
      <c r="I668">
        <v>0</v>
      </c>
      <c r="K668">
        <v>0</v>
      </c>
      <c r="L668">
        <v>0</v>
      </c>
      <c r="N668">
        <v>-0.04</v>
      </c>
    </row>
    <row r="669" spans="1:16">
      <c r="A669" t="s">
        <v>15</v>
      </c>
      <c r="B669">
        <v>505</v>
      </c>
      <c r="C669">
        <v>600475</v>
      </c>
      <c r="D669" t="s">
        <v>745</v>
      </c>
      <c r="E669" t="s">
        <v>361</v>
      </c>
      <c r="F669">
        <v>0</v>
      </c>
      <c r="H669">
        <v>0.04</v>
      </c>
      <c r="I669">
        <v>0</v>
      </c>
      <c r="K669">
        <v>0</v>
      </c>
      <c r="L669">
        <v>0</v>
      </c>
      <c r="N669">
        <v>-0.04</v>
      </c>
    </row>
    <row r="670" spans="1:16">
      <c r="A670" t="s">
        <v>15</v>
      </c>
      <c r="B670">
        <v>505</v>
      </c>
      <c r="C670">
        <v>600476</v>
      </c>
      <c r="D670" t="s">
        <v>746</v>
      </c>
      <c r="E670" t="s">
        <v>361</v>
      </c>
      <c r="F670">
        <v>0</v>
      </c>
      <c r="H670">
        <v>252654</v>
      </c>
      <c r="I670">
        <v>0</v>
      </c>
      <c r="K670">
        <v>0</v>
      </c>
      <c r="L670">
        <v>0</v>
      </c>
      <c r="N670">
        <v>-252654</v>
      </c>
      <c r="P670" t="s">
        <v>747</v>
      </c>
    </row>
    <row r="671" spans="1:16">
      <c r="A671" t="s">
        <v>15</v>
      </c>
      <c r="B671">
        <v>505</v>
      </c>
      <c r="C671">
        <v>600477</v>
      </c>
      <c r="D671" t="s">
        <v>748</v>
      </c>
      <c r="E671" t="s">
        <v>361</v>
      </c>
      <c r="F671">
        <v>0</v>
      </c>
      <c r="H671">
        <v>78942.8</v>
      </c>
      <c r="I671">
        <v>0</v>
      </c>
      <c r="K671">
        <v>0</v>
      </c>
      <c r="L671">
        <v>0</v>
      </c>
      <c r="N671">
        <v>-78942.8</v>
      </c>
      <c r="P671" t="s">
        <v>749</v>
      </c>
    </row>
    <row r="672" spans="1:16">
      <c r="A672" t="s">
        <v>15</v>
      </c>
      <c r="B672">
        <v>505</v>
      </c>
      <c r="C672">
        <v>600478</v>
      </c>
      <c r="D672" t="s">
        <v>750</v>
      </c>
      <c r="E672" t="s">
        <v>361</v>
      </c>
      <c r="F672">
        <v>0</v>
      </c>
      <c r="H672">
        <v>0</v>
      </c>
      <c r="I672">
        <v>-0.6</v>
      </c>
      <c r="K672">
        <v>0</v>
      </c>
      <c r="L672">
        <v>0</v>
      </c>
      <c r="N672">
        <v>0.6</v>
      </c>
    </row>
    <row r="673" spans="1:16">
      <c r="A673" t="s">
        <v>15</v>
      </c>
      <c r="B673">
        <v>505</v>
      </c>
      <c r="C673">
        <v>600479</v>
      </c>
      <c r="D673" t="s">
        <v>751</v>
      </c>
      <c r="E673" t="s">
        <v>361</v>
      </c>
      <c r="F673">
        <v>0</v>
      </c>
      <c r="H673">
        <v>443384.48</v>
      </c>
      <c r="I673">
        <v>0</v>
      </c>
      <c r="K673">
        <v>0</v>
      </c>
      <c r="L673">
        <v>0</v>
      </c>
      <c r="N673">
        <v>-443384.48</v>
      </c>
      <c r="P673" t="s">
        <v>752</v>
      </c>
    </row>
    <row r="674" spans="1:16">
      <c r="A674" t="s">
        <v>15</v>
      </c>
      <c r="B674">
        <v>505</v>
      </c>
      <c r="C674">
        <v>600480</v>
      </c>
      <c r="D674" t="s">
        <v>753</v>
      </c>
      <c r="E674" t="s">
        <v>361</v>
      </c>
      <c r="F674">
        <v>0</v>
      </c>
      <c r="H674">
        <v>5000</v>
      </c>
      <c r="I674">
        <v>0</v>
      </c>
      <c r="K674">
        <v>0</v>
      </c>
      <c r="L674">
        <v>0</v>
      </c>
      <c r="N674">
        <v>-5000</v>
      </c>
      <c r="P674" t="s">
        <v>754</v>
      </c>
    </row>
    <row r="675" spans="1:16">
      <c r="A675" t="s">
        <v>15</v>
      </c>
      <c r="B675">
        <v>505</v>
      </c>
      <c r="C675">
        <v>600487</v>
      </c>
      <c r="D675" t="s">
        <v>755</v>
      </c>
      <c r="E675" t="s">
        <v>361</v>
      </c>
      <c r="F675">
        <v>0</v>
      </c>
      <c r="H675">
        <v>3025120.25</v>
      </c>
      <c r="I675">
        <v>0</v>
      </c>
      <c r="K675">
        <v>0</v>
      </c>
      <c r="L675">
        <v>0</v>
      </c>
      <c r="N675">
        <v>-3025120.25</v>
      </c>
      <c r="P675" t="s">
        <v>756</v>
      </c>
    </row>
    <row r="676" spans="1:16">
      <c r="A676" t="s">
        <v>15</v>
      </c>
      <c r="B676">
        <v>505</v>
      </c>
      <c r="C676">
        <v>600490</v>
      </c>
      <c r="D676" t="s">
        <v>757</v>
      </c>
      <c r="E676" t="s">
        <v>361</v>
      </c>
      <c r="F676">
        <v>0</v>
      </c>
      <c r="H676">
        <v>0</v>
      </c>
      <c r="I676">
        <v>-0.02</v>
      </c>
      <c r="K676">
        <v>0</v>
      </c>
      <c r="L676">
        <v>0</v>
      </c>
      <c r="N676">
        <v>0.02</v>
      </c>
      <c r="P676" t="s">
        <v>758</v>
      </c>
    </row>
    <row r="677" spans="1:16">
      <c r="A677" t="s">
        <v>15</v>
      </c>
      <c r="B677">
        <v>505</v>
      </c>
      <c r="C677">
        <v>600493</v>
      </c>
      <c r="D677" t="s">
        <v>759</v>
      </c>
      <c r="E677" t="s">
        <v>361</v>
      </c>
      <c r="F677">
        <v>0</v>
      </c>
      <c r="H677">
        <v>120916</v>
      </c>
      <c r="I677">
        <v>0</v>
      </c>
      <c r="K677">
        <v>0</v>
      </c>
      <c r="L677">
        <v>0</v>
      </c>
      <c r="N677">
        <v>-120916</v>
      </c>
    </row>
    <row r="678" spans="1:16">
      <c r="A678" t="s">
        <v>15</v>
      </c>
      <c r="B678">
        <v>505</v>
      </c>
      <c r="C678">
        <v>600546</v>
      </c>
      <c r="D678" t="s">
        <v>760</v>
      </c>
      <c r="E678" t="s">
        <v>361</v>
      </c>
      <c r="F678">
        <v>0</v>
      </c>
      <c r="H678">
        <v>0</v>
      </c>
      <c r="I678">
        <v>-3</v>
      </c>
      <c r="K678">
        <v>0</v>
      </c>
      <c r="L678">
        <v>0</v>
      </c>
      <c r="N678">
        <v>3</v>
      </c>
    </row>
    <row r="679" spans="1:16">
      <c r="A679" t="s">
        <v>15</v>
      </c>
      <c r="B679">
        <v>505</v>
      </c>
      <c r="C679">
        <v>600804</v>
      </c>
      <c r="D679" t="s">
        <v>761</v>
      </c>
      <c r="E679" t="s">
        <v>361</v>
      </c>
      <c r="F679">
        <v>0</v>
      </c>
      <c r="H679">
        <v>5457053.5899999999</v>
      </c>
      <c r="I679">
        <v>0</v>
      </c>
      <c r="K679">
        <v>0</v>
      </c>
      <c r="L679">
        <v>0</v>
      </c>
      <c r="N679">
        <v>-5457053.5899999999</v>
      </c>
    </row>
    <row r="680" spans="1:16">
      <c r="C680" t="s">
        <v>762</v>
      </c>
      <c r="D680" t="s">
        <v>763</v>
      </c>
      <c r="F680" t="s">
        <v>52</v>
      </c>
      <c r="G680">
        <v>0</v>
      </c>
      <c r="I680">
        <v>13819817.34</v>
      </c>
      <c r="J680">
        <v>-3.62</v>
      </c>
      <c r="L680">
        <v>0</v>
      </c>
      <c r="M680">
        <v>0</v>
      </c>
      <c r="O680">
        <v>-13819813.720000001</v>
      </c>
    </row>
    <row r="681" spans="1:16">
      <c r="H681" t="s">
        <v>53</v>
      </c>
      <c r="I681">
        <v>13819813.720000001</v>
      </c>
      <c r="K681" t="s">
        <v>54</v>
      </c>
      <c r="L681">
        <v>0</v>
      </c>
    </row>
    <row r="683" spans="1:16">
      <c r="A683" t="s">
        <v>15</v>
      </c>
      <c r="B683">
        <v>506</v>
      </c>
      <c r="C683">
        <v>600256</v>
      </c>
      <c r="D683" t="s">
        <v>764</v>
      </c>
      <c r="E683" t="s">
        <v>665</v>
      </c>
      <c r="F683">
        <v>0</v>
      </c>
      <c r="H683">
        <v>0</v>
      </c>
      <c r="I683">
        <v>-9739.89</v>
      </c>
      <c r="K683">
        <v>0</v>
      </c>
      <c r="L683">
        <v>0</v>
      </c>
      <c r="N683">
        <v>9739.89</v>
      </c>
    </row>
    <row r="684" spans="1:16">
      <c r="A684" t="s">
        <v>15</v>
      </c>
      <c r="B684">
        <v>506</v>
      </c>
      <c r="C684">
        <v>600349</v>
      </c>
      <c r="D684" t="s">
        <v>765</v>
      </c>
      <c r="E684" t="s">
        <v>361</v>
      </c>
      <c r="F684">
        <v>0</v>
      </c>
      <c r="H684">
        <v>0</v>
      </c>
      <c r="I684">
        <v>-9305525.1899999995</v>
      </c>
      <c r="K684">
        <v>0</v>
      </c>
      <c r="L684">
        <v>0</v>
      </c>
      <c r="N684">
        <v>9305525.1899999995</v>
      </c>
    </row>
    <row r="685" spans="1:16">
      <c r="A685" t="s">
        <v>15</v>
      </c>
      <c r="B685">
        <v>506</v>
      </c>
      <c r="C685">
        <v>600350</v>
      </c>
      <c r="D685" t="s">
        <v>766</v>
      </c>
      <c r="E685" t="s">
        <v>361</v>
      </c>
      <c r="F685">
        <v>0</v>
      </c>
      <c r="H685">
        <v>0</v>
      </c>
      <c r="I685">
        <v>-901447.7</v>
      </c>
      <c r="K685">
        <v>0</v>
      </c>
      <c r="L685">
        <v>0</v>
      </c>
      <c r="N685">
        <v>901447.7</v>
      </c>
      <c r="P685" t="s">
        <v>767</v>
      </c>
    </row>
    <row r="686" spans="1:16">
      <c r="A686" t="s">
        <v>15</v>
      </c>
      <c r="B686">
        <v>506</v>
      </c>
      <c r="C686">
        <v>600351</v>
      </c>
      <c r="D686" t="s">
        <v>768</v>
      </c>
      <c r="E686" t="s">
        <v>665</v>
      </c>
      <c r="F686">
        <v>0</v>
      </c>
      <c r="H686">
        <v>0</v>
      </c>
      <c r="I686">
        <v>-0.05</v>
      </c>
      <c r="K686">
        <v>0</v>
      </c>
      <c r="L686">
        <v>0</v>
      </c>
      <c r="N686">
        <v>0.05</v>
      </c>
    </row>
    <row r="687" spans="1:16">
      <c r="A687" t="s">
        <v>15</v>
      </c>
      <c r="B687">
        <v>506</v>
      </c>
      <c r="C687">
        <v>600502</v>
      </c>
      <c r="D687" t="s">
        <v>769</v>
      </c>
      <c r="E687" t="s">
        <v>361</v>
      </c>
      <c r="F687">
        <v>0</v>
      </c>
      <c r="H687">
        <v>0</v>
      </c>
      <c r="I687">
        <v>-63338724.670000002</v>
      </c>
      <c r="K687">
        <v>0</v>
      </c>
      <c r="L687">
        <v>0</v>
      </c>
      <c r="N687">
        <v>63338724.670000002</v>
      </c>
      <c r="P687" t="s">
        <v>770</v>
      </c>
    </row>
    <row r="688" spans="1:16">
      <c r="A688" t="s">
        <v>15</v>
      </c>
      <c r="B688">
        <v>506</v>
      </c>
      <c r="C688">
        <v>600503</v>
      </c>
      <c r="D688" t="s">
        <v>771</v>
      </c>
      <c r="E688" t="s">
        <v>361</v>
      </c>
      <c r="F688">
        <v>0</v>
      </c>
      <c r="H688">
        <v>0</v>
      </c>
      <c r="I688">
        <v>-7941678.9800000004</v>
      </c>
      <c r="K688">
        <v>0</v>
      </c>
      <c r="L688">
        <v>0</v>
      </c>
      <c r="N688">
        <v>7941678.9800000004</v>
      </c>
      <c r="P688" t="s">
        <v>772</v>
      </c>
    </row>
    <row r="689" spans="1:16">
      <c r="A689" t="s">
        <v>15</v>
      </c>
      <c r="B689">
        <v>506</v>
      </c>
      <c r="C689">
        <v>600504</v>
      </c>
      <c r="D689" t="s">
        <v>773</v>
      </c>
      <c r="E689" t="s">
        <v>361</v>
      </c>
      <c r="F689">
        <v>0</v>
      </c>
      <c r="H689">
        <v>0</v>
      </c>
      <c r="I689">
        <v>-28.2</v>
      </c>
      <c r="K689">
        <v>0</v>
      </c>
      <c r="L689">
        <v>0</v>
      </c>
      <c r="N689">
        <v>28.2</v>
      </c>
    </row>
    <row r="690" spans="1:16">
      <c r="A690" t="s">
        <v>15</v>
      </c>
      <c r="B690">
        <v>506</v>
      </c>
      <c r="C690">
        <v>600505</v>
      </c>
      <c r="D690" t="s">
        <v>774</v>
      </c>
      <c r="E690" t="s">
        <v>665</v>
      </c>
      <c r="F690">
        <v>0</v>
      </c>
      <c r="H690">
        <v>0</v>
      </c>
      <c r="I690">
        <v>-392958.21</v>
      </c>
      <c r="K690">
        <v>0</v>
      </c>
      <c r="L690">
        <v>0</v>
      </c>
      <c r="N690">
        <v>392958.21</v>
      </c>
    </row>
    <row r="691" spans="1:16">
      <c r="C691" t="s">
        <v>775</v>
      </c>
      <c r="D691" t="s">
        <v>776</v>
      </c>
      <c r="F691" t="s">
        <v>52</v>
      </c>
      <c r="G691">
        <v>0</v>
      </c>
      <c r="I691">
        <v>0</v>
      </c>
      <c r="J691">
        <v>-81890102.890000001</v>
      </c>
      <c r="L691">
        <v>0</v>
      </c>
      <c r="M691">
        <v>0</v>
      </c>
      <c r="O691">
        <v>81890102.890000001</v>
      </c>
    </row>
    <row r="692" spans="1:16">
      <c r="H692" t="s">
        <v>53</v>
      </c>
      <c r="I692">
        <v>-81890102.890000001</v>
      </c>
      <c r="K692" t="s">
        <v>54</v>
      </c>
      <c r="L692">
        <v>0</v>
      </c>
    </row>
    <row r="694" spans="1:16">
      <c r="A694" t="s">
        <v>15</v>
      </c>
      <c r="B694">
        <v>508</v>
      </c>
      <c r="C694">
        <v>600523</v>
      </c>
      <c r="D694" t="s">
        <v>777</v>
      </c>
      <c r="E694" t="s">
        <v>361</v>
      </c>
      <c r="F694">
        <v>0</v>
      </c>
      <c r="H694">
        <v>0</v>
      </c>
      <c r="I694">
        <v>-1255909.1399999999</v>
      </c>
      <c r="K694">
        <v>0</v>
      </c>
      <c r="L694">
        <v>0</v>
      </c>
      <c r="N694">
        <v>1255909.1399999999</v>
      </c>
      <c r="P694" t="s">
        <v>778</v>
      </c>
    </row>
    <row r="695" spans="1:16">
      <c r="A695" t="s">
        <v>15</v>
      </c>
      <c r="B695">
        <v>508</v>
      </c>
      <c r="C695">
        <v>600524</v>
      </c>
      <c r="D695" t="s">
        <v>779</v>
      </c>
      <c r="E695" t="s">
        <v>361</v>
      </c>
      <c r="F695">
        <v>0</v>
      </c>
      <c r="H695">
        <v>0</v>
      </c>
      <c r="I695">
        <v>-29898.27</v>
      </c>
      <c r="K695">
        <v>0</v>
      </c>
      <c r="L695">
        <v>0</v>
      </c>
      <c r="N695">
        <v>29898.27</v>
      </c>
      <c r="P695" t="s">
        <v>780</v>
      </c>
    </row>
    <row r="696" spans="1:16">
      <c r="A696" t="s">
        <v>15</v>
      </c>
      <c r="B696">
        <v>508</v>
      </c>
      <c r="C696">
        <v>600853</v>
      </c>
      <c r="D696" t="s">
        <v>781</v>
      </c>
      <c r="E696" t="s">
        <v>361</v>
      </c>
      <c r="F696">
        <v>0</v>
      </c>
      <c r="H696">
        <v>0</v>
      </c>
      <c r="I696">
        <v>-40540</v>
      </c>
      <c r="K696">
        <v>0</v>
      </c>
      <c r="L696">
        <v>0</v>
      </c>
      <c r="N696">
        <v>40540</v>
      </c>
    </row>
    <row r="697" spans="1:16">
      <c r="C697" t="s">
        <v>782</v>
      </c>
      <c r="D697" t="s">
        <v>783</v>
      </c>
      <c r="F697" t="s">
        <v>52</v>
      </c>
      <c r="G697">
        <v>0</v>
      </c>
      <c r="I697">
        <v>0</v>
      </c>
      <c r="J697">
        <v>-1326347.4099999999</v>
      </c>
      <c r="L697">
        <v>0</v>
      </c>
      <c r="M697">
        <v>0</v>
      </c>
      <c r="O697">
        <v>1326347.4099999999</v>
      </c>
    </row>
    <row r="698" spans="1:16">
      <c r="H698" t="s">
        <v>53</v>
      </c>
      <c r="I698">
        <v>-1326347.4099999999</v>
      </c>
      <c r="K698" t="s">
        <v>54</v>
      </c>
      <c r="L698">
        <v>0</v>
      </c>
    </row>
    <row r="700" spans="1:16">
      <c r="A700" t="s">
        <v>15</v>
      </c>
      <c r="B700">
        <v>509</v>
      </c>
      <c r="C700">
        <v>541</v>
      </c>
      <c r="D700" t="s">
        <v>784</v>
      </c>
      <c r="E700" t="s">
        <v>665</v>
      </c>
      <c r="F700">
        <v>0</v>
      </c>
      <c r="H700">
        <v>0</v>
      </c>
      <c r="I700">
        <v>-494675.28</v>
      </c>
      <c r="K700">
        <v>0</v>
      </c>
      <c r="L700">
        <v>0</v>
      </c>
      <c r="N700">
        <v>494675.28</v>
      </c>
    </row>
    <row r="701" spans="1:16">
      <c r="A701" t="s">
        <v>15</v>
      </c>
      <c r="B701">
        <v>509</v>
      </c>
      <c r="C701">
        <v>600541</v>
      </c>
      <c r="D701" t="s">
        <v>785</v>
      </c>
      <c r="E701" t="s">
        <v>361</v>
      </c>
      <c r="F701">
        <v>0</v>
      </c>
      <c r="H701">
        <v>0</v>
      </c>
      <c r="I701">
        <v>-1073546799.11</v>
      </c>
      <c r="K701">
        <v>0</v>
      </c>
      <c r="L701">
        <v>0</v>
      </c>
      <c r="N701">
        <v>1073546799.11</v>
      </c>
      <c r="P701" t="s">
        <v>786</v>
      </c>
    </row>
    <row r="702" spans="1:16">
      <c r="A702" t="s">
        <v>15</v>
      </c>
      <c r="B702">
        <v>509</v>
      </c>
      <c r="C702">
        <v>600542</v>
      </c>
      <c r="D702" t="s">
        <v>787</v>
      </c>
      <c r="E702" t="s">
        <v>361</v>
      </c>
      <c r="F702">
        <v>0</v>
      </c>
      <c r="H702">
        <v>540401491.85000002</v>
      </c>
      <c r="I702">
        <v>0</v>
      </c>
      <c r="K702">
        <v>0</v>
      </c>
      <c r="L702">
        <v>0</v>
      </c>
      <c r="N702">
        <v>-540401491.85000002</v>
      </c>
    </row>
    <row r="703" spans="1:16">
      <c r="C703" t="s">
        <v>788</v>
      </c>
      <c r="D703" t="s">
        <v>789</v>
      </c>
      <c r="F703" t="s">
        <v>52</v>
      </c>
      <c r="G703">
        <v>0</v>
      </c>
      <c r="I703">
        <v>540401491.85000002</v>
      </c>
      <c r="J703">
        <v>-1074041474.3900001</v>
      </c>
      <c r="L703">
        <v>0</v>
      </c>
      <c r="M703">
        <v>0</v>
      </c>
      <c r="O703">
        <v>533639982.54000002</v>
      </c>
    </row>
    <row r="704" spans="1:16">
      <c r="H704" t="s">
        <v>53</v>
      </c>
      <c r="I704">
        <v>-533639982.54000002</v>
      </c>
      <c r="K704" t="s">
        <v>54</v>
      </c>
      <c r="L704">
        <v>0</v>
      </c>
    </row>
    <row r="706" spans="1:16">
      <c r="A706" t="s">
        <v>15</v>
      </c>
      <c r="B706">
        <v>510</v>
      </c>
      <c r="C706">
        <v>600563</v>
      </c>
      <c r="D706" t="s">
        <v>790</v>
      </c>
      <c r="E706" t="s">
        <v>361</v>
      </c>
      <c r="F706">
        <v>0</v>
      </c>
      <c r="H706">
        <v>549.5</v>
      </c>
      <c r="I706">
        <v>0</v>
      </c>
      <c r="K706">
        <v>0</v>
      </c>
      <c r="L706">
        <v>0</v>
      </c>
      <c r="N706">
        <v>-549.5</v>
      </c>
      <c r="P706" t="s">
        <v>791</v>
      </c>
    </row>
    <row r="707" spans="1:16">
      <c r="A707" t="s">
        <v>15</v>
      </c>
      <c r="B707">
        <v>510</v>
      </c>
      <c r="C707">
        <v>600571</v>
      </c>
      <c r="D707" t="s">
        <v>792</v>
      </c>
      <c r="E707" t="s">
        <v>361</v>
      </c>
      <c r="F707">
        <v>0</v>
      </c>
      <c r="H707">
        <v>611.29999999999995</v>
      </c>
      <c r="I707">
        <v>0</v>
      </c>
      <c r="K707">
        <v>0</v>
      </c>
      <c r="L707">
        <v>0</v>
      </c>
      <c r="N707">
        <v>-611.29999999999995</v>
      </c>
      <c r="P707" t="s">
        <v>793</v>
      </c>
    </row>
    <row r="708" spans="1:16">
      <c r="A708" t="s">
        <v>15</v>
      </c>
      <c r="B708">
        <v>510</v>
      </c>
      <c r="C708">
        <v>600572</v>
      </c>
      <c r="D708" t="s">
        <v>794</v>
      </c>
      <c r="E708" t="s">
        <v>361</v>
      </c>
      <c r="F708">
        <v>0</v>
      </c>
      <c r="H708">
        <v>0</v>
      </c>
      <c r="I708">
        <v>-157.30000000000001</v>
      </c>
      <c r="K708">
        <v>0</v>
      </c>
      <c r="L708">
        <v>0</v>
      </c>
      <c r="N708">
        <v>157.30000000000001</v>
      </c>
      <c r="P708" t="s">
        <v>795</v>
      </c>
    </row>
    <row r="709" spans="1:16">
      <c r="A709" t="s">
        <v>15</v>
      </c>
      <c r="B709">
        <v>510</v>
      </c>
      <c r="C709">
        <v>601562</v>
      </c>
      <c r="D709" t="s">
        <v>796</v>
      </c>
      <c r="E709" t="s">
        <v>361</v>
      </c>
      <c r="F709">
        <v>0</v>
      </c>
      <c r="H709">
        <v>7324184.2300000004</v>
      </c>
      <c r="I709">
        <v>0</v>
      </c>
      <c r="K709">
        <v>0</v>
      </c>
      <c r="L709">
        <v>0</v>
      </c>
      <c r="N709">
        <v>-7324184.2300000004</v>
      </c>
      <c r="P709" t="s">
        <v>797</v>
      </c>
    </row>
    <row r="710" spans="1:16">
      <c r="A710" t="s">
        <v>15</v>
      </c>
      <c r="B710">
        <v>510</v>
      </c>
      <c r="C710">
        <v>601572</v>
      </c>
      <c r="D710" t="s">
        <v>798</v>
      </c>
      <c r="E710" t="s">
        <v>361</v>
      </c>
      <c r="F710">
        <v>0</v>
      </c>
      <c r="H710">
        <v>598969.13</v>
      </c>
      <c r="I710">
        <v>0</v>
      </c>
      <c r="K710">
        <v>0</v>
      </c>
      <c r="L710">
        <v>0</v>
      </c>
      <c r="N710">
        <v>-598969.13</v>
      </c>
      <c r="P710" t="s">
        <v>799</v>
      </c>
    </row>
    <row r="711" spans="1:16">
      <c r="C711" t="s">
        <v>800</v>
      </c>
      <c r="D711" t="s">
        <v>801</v>
      </c>
      <c r="F711" t="s">
        <v>52</v>
      </c>
      <c r="G711">
        <v>0</v>
      </c>
      <c r="I711">
        <v>7924314.1600000001</v>
      </c>
      <c r="J711">
        <v>-157.30000000000001</v>
      </c>
      <c r="L711">
        <v>0</v>
      </c>
      <c r="M711">
        <v>0</v>
      </c>
      <c r="O711">
        <v>-7924156.8600000003</v>
      </c>
    </row>
    <row r="712" spans="1:16">
      <c r="H712" t="s">
        <v>53</v>
      </c>
      <c r="I712">
        <v>7924156.8600000003</v>
      </c>
      <c r="K712" t="s">
        <v>54</v>
      </c>
      <c r="L712">
        <v>0</v>
      </c>
    </row>
    <row r="714" spans="1:16">
      <c r="A714" t="s">
        <v>15</v>
      </c>
      <c r="B714">
        <v>511</v>
      </c>
      <c r="C714">
        <v>1</v>
      </c>
      <c r="D714" t="s">
        <v>109</v>
      </c>
      <c r="E714" t="s">
        <v>665</v>
      </c>
      <c r="F714">
        <v>0</v>
      </c>
      <c r="H714">
        <v>320789.58</v>
      </c>
      <c r="I714">
        <v>0</v>
      </c>
      <c r="K714">
        <v>0</v>
      </c>
      <c r="L714">
        <v>0</v>
      </c>
      <c r="N714">
        <v>-320789.58</v>
      </c>
    </row>
    <row r="715" spans="1:16">
      <c r="A715" t="s">
        <v>15</v>
      </c>
      <c r="B715">
        <v>511</v>
      </c>
      <c r="C715">
        <v>16</v>
      </c>
      <c r="D715" t="s">
        <v>89</v>
      </c>
      <c r="E715" t="s">
        <v>665</v>
      </c>
      <c r="F715">
        <v>0</v>
      </c>
      <c r="H715">
        <v>3207.88</v>
      </c>
      <c r="I715">
        <v>0</v>
      </c>
      <c r="K715">
        <v>0</v>
      </c>
      <c r="L715">
        <v>0</v>
      </c>
      <c r="N715">
        <v>-3207.88</v>
      </c>
    </row>
    <row r="716" spans="1:16">
      <c r="A716" t="s">
        <v>15</v>
      </c>
      <c r="B716">
        <v>511</v>
      </c>
      <c r="C716">
        <v>102</v>
      </c>
      <c r="D716" t="s">
        <v>33</v>
      </c>
      <c r="E716" t="s">
        <v>665</v>
      </c>
      <c r="F716">
        <v>0</v>
      </c>
      <c r="H716">
        <v>3207.9</v>
      </c>
      <c r="I716">
        <v>0</v>
      </c>
      <c r="K716">
        <v>0</v>
      </c>
      <c r="L716">
        <v>0</v>
      </c>
      <c r="N716">
        <v>-3207.9</v>
      </c>
    </row>
    <row r="717" spans="1:16">
      <c r="A717" t="s">
        <v>15</v>
      </c>
      <c r="B717">
        <v>511</v>
      </c>
      <c r="C717">
        <v>104</v>
      </c>
      <c r="D717" t="s">
        <v>115</v>
      </c>
      <c r="E717" t="s">
        <v>665</v>
      </c>
      <c r="F717">
        <v>0</v>
      </c>
      <c r="H717">
        <v>47.46</v>
      </c>
      <c r="I717">
        <v>0</v>
      </c>
      <c r="K717">
        <v>0</v>
      </c>
      <c r="L717">
        <v>0</v>
      </c>
      <c r="N717">
        <v>-47.46</v>
      </c>
    </row>
    <row r="718" spans="1:16">
      <c r="A718" t="s">
        <v>15</v>
      </c>
      <c r="B718">
        <v>511</v>
      </c>
      <c r="C718">
        <v>748</v>
      </c>
      <c r="D718" t="s">
        <v>802</v>
      </c>
      <c r="E718" t="s">
        <v>361</v>
      </c>
      <c r="F718">
        <v>0</v>
      </c>
      <c r="H718">
        <v>2368540.2200000002</v>
      </c>
      <c r="I718">
        <v>0</v>
      </c>
      <c r="K718">
        <v>0</v>
      </c>
      <c r="L718">
        <v>0</v>
      </c>
      <c r="N718">
        <v>-2368540.2200000002</v>
      </c>
    </row>
    <row r="719" spans="1:16">
      <c r="A719" t="s">
        <v>15</v>
      </c>
      <c r="B719">
        <v>511</v>
      </c>
      <c r="C719">
        <v>750</v>
      </c>
      <c r="D719" t="s">
        <v>803</v>
      </c>
      <c r="E719" t="s">
        <v>665</v>
      </c>
      <c r="F719">
        <v>0</v>
      </c>
      <c r="H719">
        <v>0</v>
      </c>
      <c r="I719">
        <v>-7487389.4699999997</v>
      </c>
      <c r="K719">
        <v>0</v>
      </c>
      <c r="L719">
        <v>0</v>
      </c>
      <c r="N719">
        <v>7487389.4699999997</v>
      </c>
    </row>
    <row r="720" spans="1:16">
      <c r="A720" t="s">
        <v>15</v>
      </c>
      <c r="B720">
        <v>511</v>
      </c>
      <c r="C720">
        <v>600356</v>
      </c>
      <c r="D720" t="s">
        <v>804</v>
      </c>
      <c r="E720" t="s">
        <v>361</v>
      </c>
      <c r="F720">
        <v>0</v>
      </c>
      <c r="H720">
        <v>1078003.8500000001</v>
      </c>
      <c r="I720">
        <v>0</v>
      </c>
      <c r="K720">
        <v>0</v>
      </c>
      <c r="L720">
        <v>0</v>
      </c>
      <c r="N720">
        <v>-1078003.8500000001</v>
      </c>
      <c r="P720" t="s">
        <v>805</v>
      </c>
    </row>
    <row r="721" spans="1:16">
      <c r="A721" t="s">
        <v>15</v>
      </c>
      <c r="B721">
        <v>511</v>
      </c>
      <c r="C721">
        <v>600360</v>
      </c>
      <c r="D721" t="s">
        <v>806</v>
      </c>
      <c r="E721" t="s">
        <v>665</v>
      </c>
      <c r="F721">
        <v>0</v>
      </c>
      <c r="H721">
        <v>0</v>
      </c>
      <c r="I721">
        <v>-371364.19</v>
      </c>
      <c r="K721">
        <v>0</v>
      </c>
      <c r="L721">
        <v>0</v>
      </c>
      <c r="N721">
        <v>371364.19</v>
      </c>
    </row>
    <row r="722" spans="1:16">
      <c r="A722" t="s">
        <v>15</v>
      </c>
      <c r="B722">
        <v>511</v>
      </c>
      <c r="C722">
        <v>600600</v>
      </c>
      <c r="D722" t="s">
        <v>807</v>
      </c>
      <c r="E722" t="s">
        <v>361</v>
      </c>
      <c r="F722">
        <v>0</v>
      </c>
      <c r="H722">
        <v>705498.73</v>
      </c>
      <c r="I722">
        <v>0</v>
      </c>
      <c r="K722">
        <v>0</v>
      </c>
      <c r="L722">
        <v>0</v>
      </c>
      <c r="N722">
        <v>-705498.73</v>
      </c>
      <c r="P722" t="s">
        <v>808</v>
      </c>
    </row>
    <row r="723" spans="1:16">
      <c r="A723" t="s">
        <v>15</v>
      </c>
      <c r="B723">
        <v>511</v>
      </c>
      <c r="C723">
        <v>600603</v>
      </c>
      <c r="D723" t="s">
        <v>809</v>
      </c>
      <c r="E723" t="s">
        <v>361</v>
      </c>
      <c r="F723">
        <v>0</v>
      </c>
      <c r="H723">
        <v>0</v>
      </c>
      <c r="I723">
        <v>-8734.84</v>
      </c>
      <c r="K723">
        <v>0</v>
      </c>
      <c r="L723">
        <v>0</v>
      </c>
      <c r="N723">
        <v>8734.84</v>
      </c>
      <c r="P723" t="s">
        <v>810</v>
      </c>
    </row>
    <row r="724" spans="1:16">
      <c r="A724" t="s">
        <v>15</v>
      </c>
      <c r="B724">
        <v>511</v>
      </c>
      <c r="C724">
        <v>600604</v>
      </c>
      <c r="D724" t="s">
        <v>811</v>
      </c>
      <c r="E724" t="s">
        <v>361</v>
      </c>
      <c r="F724">
        <v>0</v>
      </c>
      <c r="H724">
        <v>0.2</v>
      </c>
      <c r="I724">
        <v>0</v>
      </c>
      <c r="K724">
        <v>0</v>
      </c>
      <c r="L724">
        <v>0</v>
      </c>
      <c r="N724">
        <v>-0.2</v>
      </c>
      <c r="P724" t="s">
        <v>812</v>
      </c>
    </row>
    <row r="725" spans="1:16">
      <c r="A725" t="s">
        <v>15</v>
      </c>
      <c r="B725">
        <v>511</v>
      </c>
      <c r="C725">
        <v>600631</v>
      </c>
      <c r="D725" t="s">
        <v>813</v>
      </c>
      <c r="E725" t="s">
        <v>361</v>
      </c>
      <c r="F725">
        <v>0</v>
      </c>
      <c r="H725">
        <v>432609.7</v>
      </c>
      <c r="I725">
        <v>0</v>
      </c>
      <c r="K725">
        <v>0</v>
      </c>
      <c r="L725">
        <v>0</v>
      </c>
      <c r="N725">
        <v>-432609.7</v>
      </c>
      <c r="P725" t="s">
        <v>814</v>
      </c>
    </row>
    <row r="726" spans="1:16">
      <c r="A726" t="s">
        <v>15</v>
      </c>
      <c r="B726">
        <v>511</v>
      </c>
      <c r="C726">
        <v>600642</v>
      </c>
      <c r="D726" t="s">
        <v>815</v>
      </c>
      <c r="E726" t="s">
        <v>361</v>
      </c>
      <c r="F726">
        <v>0</v>
      </c>
      <c r="H726">
        <v>0</v>
      </c>
      <c r="I726">
        <v>-232548.07</v>
      </c>
      <c r="K726">
        <v>0</v>
      </c>
      <c r="L726">
        <v>0</v>
      </c>
      <c r="N726">
        <v>232548.07</v>
      </c>
    </row>
    <row r="727" spans="1:16">
      <c r="A727" t="s">
        <v>15</v>
      </c>
      <c r="B727">
        <v>511</v>
      </c>
      <c r="C727">
        <v>600668</v>
      </c>
      <c r="D727" t="s">
        <v>816</v>
      </c>
      <c r="E727" t="s">
        <v>361</v>
      </c>
      <c r="F727">
        <v>0</v>
      </c>
      <c r="H727">
        <v>0</v>
      </c>
      <c r="I727">
        <v>-518343.06</v>
      </c>
      <c r="K727">
        <v>0</v>
      </c>
      <c r="L727">
        <v>0</v>
      </c>
      <c r="N727">
        <v>518343.06</v>
      </c>
      <c r="P727" t="s">
        <v>817</v>
      </c>
    </row>
    <row r="728" spans="1:16">
      <c r="A728" t="s">
        <v>15</v>
      </c>
      <c r="B728">
        <v>511</v>
      </c>
      <c r="C728">
        <v>600669</v>
      </c>
      <c r="D728" t="s">
        <v>818</v>
      </c>
      <c r="E728" t="s">
        <v>361</v>
      </c>
      <c r="F728">
        <v>0</v>
      </c>
      <c r="H728">
        <v>0</v>
      </c>
      <c r="I728">
        <v>-1103.67</v>
      </c>
      <c r="K728">
        <v>0</v>
      </c>
      <c r="L728">
        <v>0</v>
      </c>
      <c r="N728">
        <v>1103.67</v>
      </c>
    </row>
    <row r="729" spans="1:16">
      <c r="A729" t="s">
        <v>15</v>
      </c>
      <c r="B729">
        <v>511</v>
      </c>
      <c r="C729">
        <v>600686</v>
      </c>
      <c r="D729" t="s">
        <v>428</v>
      </c>
      <c r="E729" t="s">
        <v>361</v>
      </c>
      <c r="F729">
        <v>0</v>
      </c>
      <c r="H729">
        <v>751266.92</v>
      </c>
      <c r="I729">
        <v>0</v>
      </c>
      <c r="K729">
        <v>0</v>
      </c>
      <c r="L729">
        <v>0</v>
      </c>
      <c r="N729">
        <v>-751266.92</v>
      </c>
      <c r="P729" t="s">
        <v>819</v>
      </c>
    </row>
    <row r="730" spans="1:16">
      <c r="A730" t="s">
        <v>15</v>
      </c>
      <c r="B730">
        <v>511</v>
      </c>
      <c r="C730">
        <v>600800</v>
      </c>
      <c r="D730" t="s">
        <v>820</v>
      </c>
      <c r="E730" t="s">
        <v>665</v>
      </c>
      <c r="F730">
        <v>0</v>
      </c>
      <c r="H730">
        <v>0</v>
      </c>
      <c r="I730">
        <v>-1052000.71</v>
      </c>
      <c r="K730">
        <v>0</v>
      </c>
      <c r="L730">
        <v>0</v>
      </c>
      <c r="N730">
        <v>1052000.71</v>
      </c>
    </row>
    <row r="731" spans="1:16">
      <c r="A731" t="s">
        <v>15</v>
      </c>
      <c r="B731">
        <v>511</v>
      </c>
      <c r="C731">
        <v>600801</v>
      </c>
      <c r="D731" t="s">
        <v>821</v>
      </c>
      <c r="E731" t="s">
        <v>361</v>
      </c>
      <c r="F731">
        <v>0</v>
      </c>
      <c r="H731">
        <v>407520.48</v>
      </c>
      <c r="I731">
        <v>0</v>
      </c>
      <c r="K731">
        <v>0</v>
      </c>
      <c r="L731">
        <v>0</v>
      </c>
      <c r="N731">
        <v>-407520.48</v>
      </c>
    </row>
    <row r="732" spans="1:16">
      <c r="A732" t="s">
        <v>15</v>
      </c>
      <c r="B732">
        <v>511</v>
      </c>
      <c r="C732">
        <v>600851</v>
      </c>
      <c r="D732" t="s">
        <v>822</v>
      </c>
      <c r="E732" t="s">
        <v>361</v>
      </c>
      <c r="F732">
        <v>0</v>
      </c>
      <c r="H732">
        <v>0</v>
      </c>
      <c r="I732">
        <v>-19509.47</v>
      </c>
      <c r="K732">
        <v>0</v>
      </c>
      <c r="L732">
        <v>0</v>
      </c>
      <c r="N732">
        <v>19509.47</v>
      </c>
      <c r="P732" t="s">
        <v>823</v>
      </c>
    </row>
    <row r="733" spans="1:16">
      <c r="A733" t="s">
        <v>15</v>
      </c>
      <c r="B733">
        <v>511</v>
      </c>
      <c r="C733">
        <v>600855</v>
      </c>
      <c r="D733" t="s">
        <v>824</v>
      </c>
      <c r="E733" t="s">
        <v>361</v>
      </c>
      <c r="F733">
        <v>0</v>
      </c>
      <c r="H733">
        <v>0</v>
      </c>
      <c r="I733">
        <v>-95820.05</v>
      </c>
      <c r="K733">
        <v>0</v>
      </c>
      <c r="L733">
        <v>0</v>
      </c>
      <c r="N733">
        <v>95820.05</v>
      </c>
    </row>
    <row r="734" spans="1:16">
      <c r="C734" t="s">
        <v>825</v>
      </c>
      <c r="D734" t="s">
        <v>826</v>
      </c>
      <c r="F734" t="s">
        <v>52</v>
      </c>
      <c r="G734">
        <v>0</v>
      </c>
      <c r="I734">
        <v>6070692.9199999999</v>
      </c>
      <c r="J734">
        <v>-9786813.5299999993</v>
      </c>
      <c r="L734">
        <v>0</v>
      </c>
      <c r="M734">
        <v>0</v>
      </c>
      <c r="O734">
        <v>3716120.61</v>
      </c>
    </row>
    <row r="735" spans="1:16">
      <c r="H735" t="s">
        <v>53</v>
      </c>
      <c r="I735">
        <v>-3716120.61</v>
      </c>
      <c r="K735" t="s">
        <v>54</v>
      </c>
      <c r="L735">
        <v>0</v>
      </c>
    </row>
    <row r="737" spans="1:16">
      <c r="A737" t="s">
        <v>15</v>
      </c>
      <c r="B737">
        <v>512</v>
      </c>
      <c r="C737">
        <v>600861</v>
      </c>
      <c r="D737" t="s">
        <v>827</v>
      </c>
      <c r="E737" t="s">
        <v>361</v>
      </c>
      <c r="F737">
        <v>0</v>
      </c>
      <c r="H737">
        <v>5485186.6600000001</v>
      </c>
      <c r="I737">
        <v>0</v>
      </c>
      <c r="K737">
        <v>0</v>
      </c>
      <c r="L737">
        <v>0</v>
      </c>
      <c r="N737">
        <v>-5485186.6600000001</v>
      </c>
      <c r="P737" t="s">
        <v>828</v>
      </c>
    </row>
    <row r="738" spans="1:16">
      <c r="A738" t="s">
        <v>15</v>
      </c>
      <c r="B738">
        <v>512</v>
      </c>
      <c r="C738">
        <v>600862</v>
      </c>
      <c r="D738" t="s">
        <v>829</v>
      </c>
      <c r="E738" t="s">
        <v>361</v>
      </c>
      <c r="F738">
        <v>0</v>
      </c>
      <c r="H738">
        <v>5620968.0999999996</v>
      </c>
      <c r="I738">
        <v>0</v>
      </c>
      <c r="K738">
        <v>0</v>
      </c>
      <c r="L738">
        <v>0</v>
      </c>
      <c r="N738">
        <v>-5620968.0999999996</v>
      </c>
      <c r="P738" t="s">
        <v>830</v>
      </c>
    </row>
    <row r="739" spans="1:16">
      <c r="A739" t="s">
        <v>15</v>
      </c>
      <c r="B739">
        <v>512</v>
      </c>
      <c r="C739">
        <v>600863</v>
      </c>
      <c r="D739" t="s">
        <v>831</v>
      </c>
      <c r="E739" t="s">
        <v>361</v>
      </c>
      <c r="F739">
        <v>0</v>
      </c>
      <c r="H739">
        <v>6800585.3300000001</v>
      </c>
      <c r="I739">
        <v>0</v>
      </c>
      <c r="K739">
        <v>0</v>
      </c>
      <c r="L739">
        <v>0</v>
      </c>
      <c r="N739">
        <v>-6800585.3300000001</v>
      </c>
      <c r="P739" t="s">
        <v>832</v>
      </c>
    </row>
    <row r="740" spans="1:16">
      <c r="A740" t="s">
        <v>15</v>
      </c>
      <c r="B740">
        <v>512</v>
      </c>
      <c r="C740">
        <v>600864</v>
      </c>
      <c r="D740" t="s">
        <v>833</v>
      </c>
      <c r="E740" t="s">
        <v>361</v>
      </c>
      <c r="F740">
        <v>0</v>
      </c>
      <c r="H740">
        <v>0</v>
      </c>
      <c r="I740">
        <v>-5393353.6500000004</v>
      </c>
      <c r="K740">
        <v>0</v>
      </c>
      <c r="L740">
        <v>0</v>
      </c>
      <c r="N740">
        <v>5393353.6500000004</v>
      </c>
      <c r="P740" t="s">
        <v>834</v>
      </c>
    </row>
    <row r="741" spans="1:16">
      <c r="A741" t="s">
        <v>15</v>
      </c>
      <c r="B741">
        <v>512</v>
      </c>
      <c r="C741">
        <v>600865</v>
      </c>
      <c r="D741" t="s">
        <v>835</v>
      </c>
      <c r="E741" t="s">
        <v>361</v>
      </c>
      <c r="F741">
        <v>0</v>
      </c>
      <c r="H741">
        <v>0</v>
      </c>
      <c r="I741">
        <v>-28466793.109999999</v>
      </c>
      <c r="K741">
        <v>0</v>
      </c>
      <c r="L741">
        <v>0</v>
      </c>
      <c r="N741">
        <v>28466793.109999999</v>
      </c>
      <c r="P741" t="s">
        <v>836</v>
      </c>
    </row>
    <row r="742" spans="1:16">
      <c r="C742" t="s">
        <v>837</v>
      </c>
      <c r="D742" t="s">
        <v>826</v>
      </c>
      <c r="F742" t="s">
        <v>52</v>
      </c>
      <c r="G742">
        <v>0</v>
      </c>
      <c r="I742">
        <v>17906740.09</v>
      </c>
      <c r="J742">
        <v>-33860146.759999998</v>
      </c>
      <c r="L742">
        <v>0</v>
      </c>
      <c r="M742">
        <v>0</v>
      </c>
      <c r="O742">
        <v>15953406.67</v>
      </c>
    </row>
    <row r="743" spans="1:16">
      <c r="H743" t="s">
        <v>53</v>
      </c>
      <c r="I743">
        <v>-15953406.67</v>
      </c>
      <c r="K743" t="s">
        <v>54</v>
      </c>
      <c r="L743">
        <v>0</v>
      </c>
    </row>
    <row r="745" spans="1:16">
      <c r="A745" t="s">
        <v>15</v>
      </c>
      <c r="B745">
        <v>514</v>
      </c>
      <c r="C745">
        <v>601006</v>
      </c>
      <c r="D745" t="s">
        <v>838</v>
      </c>
      <c r="E745" t="s">
        <v>361</v>
      </c>
      <c r="F745">
        <v>0</v>
      </c>
      <c r="H745">
        <v>3427002.66</v>
      </c>
      <c r="I745">
        <v>0</v>
      </c>
      <c r="K745">
        <v>0</v>
      </c>
      <c r="L745">
        <v>0</v>
      </c>
      <c r="N745">
        <v>-3427002.66</v>
      </c>
      <c r="P745" t="s">
        <v>839</v>
      </c>
    </row>
    <row r="746" spans="1:16">
      <c r="C746" t="s">
        <v>840</v>
      </c>
      <c r="D746" t="s">
        <v>826</v>
      </c>
      <c r="F746" t="s">
        <v>52</v>
      </c>
      <c r="G746">
        <v>0</v>
      </c>
      <c r="I746">
        <v>3427002.66</v>
      </c>
      <c r="J746">
        <v>0</v>
      </c>
      <c r="L746">
        <v>0</v>
      </c>
      <c r="M746">
        <v>0</v>
      </c>
      <c r="O746">
        <v>-3427002.66</v>
      </c>
    </row>
    <row r="747" spans="1:16">
      <c r="H747" t="s">
        <v>53</v>
      </c>
      <c r="I747">
        <v>3427002.66</v>
      </c>
      <c r="K747" t="s">
        <v>54</v>
      </c>
      <c r="L747">
        <v>0</v>
      </c>
    </row>
    <row r="749" spans="1:16">
      <c r="A749" t="s">
        <v>15</v>
      </c>
      <c r="B749">
        <v>515</v>
      </c>
      <c r="C749">
        <v>600352</v>
      </c>
      <c r="D749" t="s">
        <v>841</v>
      </c>
      <c r="E749" t="s">
        <v>361</v>
      </c>
      <c r="F749">
        <v>0</v>
      </c>
      <c r="H749">
        <v>353245.65</v>
      </c>
      <c r="I749">
        <v>0</v>
      </c>
      <c r="K749">
        <v>0</v>
      </c>
      <c r="L749">
        <v>0</v>
      </c>
      <c r="N749">
        <v>-353245.65</v>
      </c>
      <c r="P749" t="s">
        <v>842</v>
      </c>
    </row>
    <row r="750" spans="1:16">
      <c r="A750" t="s">
        <v>15</v>
      </c>
      <c r="B750">
        <v>515</v>
      </c>
      <c r="C750">
        <v>600353</v>
      </c>
      <c r="D750" t="s">
        <v>843</v>
      </c>
      <c r="E750" t="s">
        <v>361</v>
      </c>
      <c r="F750">
        <v>0</v>
      </c>
      <c r="H750">
        <v>1327492.81</v>
      </c>
      <c r="I750">
        <v>0</v>
      </c>
      <c r="K750">
        <v>0</v>
      </c>
      <c r="L750">
        <v>0</v>
      </c>
      <c r="N750">
        <v>-1327492.81</v>
      </c>
      <c r="P750" t="s">
        <v>844</v>
      </c>
    </row>
    <row r="751" spans="1:16">
      <c r="A751" t="s">
        <v>15</v>
      </c>
      <c r="B751">
        <v>515</v>
      </c>
      <c r="C751">
        <v>600354</v>
      </c>
      <c r="D751" t="s">
        <v>845</v>
      </c>
      <c r="E751" t="s">
        <v>361</v>
      </c>
      <c r="F751">
        <v>0</v>
      </c>
      <c r="H751">
        <v>34750</v>
      </c>
      <c r="I751">
        <v>0</v>
      </c>
      <c r="K751">
        <v>0</v>
      </c>
      <c r="L751">
        <v>0</v>
      </c>
      <c r="N751">
        <v>-34750</v>
      </c>
      <c r="P751" t="s">
        <v>846</v>
      </c>
    </row>
    <row r="752" spans="1:16">
      <c r="A752" t="s">
        <v>15</v>
      </c>
      <c r="B752">
        <v>515</v>
      </c>
      <c r="C752">
        <v>600355</v>
      </c>
      <c r="D752" t="s">
        <v>847</v>
      </c>
      <c r="E752" t="s">
        <v>361</v>
      </c>
      <c r="F752">
        <v>0</v>
      </c>
      <c r="H752">
        <v>2018500</v>
      </c>
      <c r="I752">
        <v>0</v>
      </c>
      <c r="K752">
        <v>0</v>
      </c>
      <c r="L752">
        <v>0</v>
      </c>
      <c r="N752">
        <v>-2018500</v>
      </c>
    </row>
    <row r="753" spans="1:15">
      <c r="A753" t="s">
        <v>15</v>
      </c>
      <c r="B753">
        <v>515</v>
      </c>
      <c r="C753">
        <v>600400</v>
      </c>
      <c r="D753" t="s">
        <v>848</v>
      </c>
      <c r="E753" t="s">
        <v>361</v>
      </c>
      <c r="F753">
        <v>0</v>
      </c>
      <c r="H753">
        <v>1763881.48</v>
      </c>
      <c r="I753">
        <v>0</v>
      </c>
      <c r="K753">
        <v>0</v>
      </c>
      <c r="L753">
        <v>0</v>
      </c>
      <c r="N753">
        <v>-1763881.48</v>
      </c>
    </row>
    <row r="754" spans="1:15">
      <c r="C754" t="s">
        <v>849</v>
      </c>
      <c r="D754" t="s">
        <v>850</v>
      </c>
      <c r="F754" t="s">
        <v>52</v>
      </c>
      <c r="G754">
        <v>0</v>
      </c>
      <c r="I754">
        <v>5497869.9400000004</v>
      </c>
      <c r="J754">
        <v>0</v>
      </c>
      <c r="L754">
        <v>0</v>
      </c>
      <c r="M754">
        <v>0</v>
      </c>
      <c r="O754">
        <v>-5497869.9400000004</v>
      </c>
    </row>
    <row r="755" spans="1:15">
      <c r="H755" t="s">
        <v>53</v>
      </c>
      <c r="I755">
        <v>5497869.9400000004</v>
      </c>
      <c r="K755" t="s">
        <v>54</v>
      </c>
      <c r="L755">
        <v>0</v>
      </c>
    </row>
    <row r="757" spans="1:15">
      <c r="E757" t="s">
        <v>851</v>
      </c>
      <c r="F757">
        <v>176316410.91999999</v>
      </c>
      <c r="H757">
        <v>2074292679.1199999</v>
      </c>
      <c r="I757">
        <v>-2068796515.48</v>
      </c>
      <c r="K757">
        <v>206377448.41</v>
      </c>
      <c r="L757">
        <v>-211873612.05000001</v>
      </c>
    </row>
    <row r="758" spans="1:15">
      <c r="H758" t="s">
        <v>53</v>
      </c>
      <c r="I758">
        <v>5496163.6399999997</v>
      </c>
      <c r="K758" t="s">
        <v>54</v>
      </c>
      <c r="L758">
        <v>-5496163.6399999997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F1" zoomScaleNormal="100" workbookViewId="0">
      <pane ySplit="2" topLeftCell="A15" activePane="bottomLeft" state="frozen"/>
      <selection pane="bottomLeft" activeCell="J29" sqref="J29"/>
    </sheetView>
  </sheetViews>
  <sheetFormatPr defaultRowHeight="15"/>
  <cols>
    <col min="3" max="3" width="29.7109375" bestFit="1" customWidth="1"/>
    <col min="4" max="4" width="26" style="115" bestFit="1" customWidth="1"/>
    <col min="5" max="5" width="24" style="115" hidden="1" customWidth="1"/>
    <col min="6" max="6" width="26" style="115" bestFit="1" customWidth="1"/>
    <col min="7" max="7" width="20.7109375" style="160" hidden="1" customWidth="1"/>
    <col min="8" max="8" width="26" style="27" bestFit="1" customWidth="1"/>
    <col min="9" max="11" width="26" style="27" customWidth="1"/>
    <col min="12" max="12" width="23" style="27" bestFit="1" customWidth="1"/>
    <col min="13" max="13" width="23" customWidth="1"/>
    <col min="14" max="14" width="19.7109375" bestFit="1" customWidth="1"/>
    <col min="15" max="16" width="26" bestFit="1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M1" s="27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246" t="s">
        <v>1123</v>
      </c>
      <c r="K2" s="231"/>
      <c r="L2" s="44"/>
      <c r="M2" s="44"/>
    </row>
    <row r="3" spans="1:13">
      <c r="A3" s="39"/>
      <c r="B3" s="39"/>
      <c r="C3" s="39"/>
      <c r="D3" s="116"/>
      <c r="E3" s="116"/>
      <c r="F3" s="116"/>
      <c r="G3" s="116"/>
      <c r="H3" s="116"/>
      <c r="I3" s="234"/>
      <c r="J3" s="41"/>
      <c r="K3" s="41"/>
    </row>
    <row r="4" spans="1:13">
      <c r="A4" s="39" t="s">
        <v>921</v>
      </c>
      <c r="B4" s="39"/>
      <c r="C4" s="39"/>
      <c r="D4" s="116"/>
      <c r="E4" s="116"/>
      <c r="F4" s="116"/>
      <c r="G4" s="116"/>
      <c r="H4" s="116"/>
      <c r="I4" s="234"/>
      <c r="J4" s="41"/>
      <c r="K4" s="41"/>
    </row>
    <row r="5" spans="1:13">
      <c r="A5" s="13">
        <v>239</v>
      </c>
      <c r="B5" s="13">
        <v>1</v>
      </c>
      <c r="C5" s="13" t="s">
        <v>16</v>
      </c>
      <c r="D5" s="117">
        <v>3769494.56</v>
      </c>
      <c r="E5" s="117">
        <v>2618355.04</v>
      </c>
      <c r="F5" s="117">
        <v>3902234.24</v>
      </c>
      <c r="G5" s="117">
        <v>1567416.67</v>
      </c>
      <c r="H5" s="117">
        <v>3943988.1463680002</v>
      </c>
      <c r="I5" s="235">
        <v>1664154</v>
      </c>
      <c r="J5" s="84">
        <f>SALARIES!J83</f>
        <v>4244227.4351500804</v>
      </c>
      <c r="K5" s="91"/>
      <c r="L5" s="140">
        <f>+E5/8*12</f>
        <v>3927532.56</v>
      </c>
    </row>
    <row r="6" spans="1:13">
      <c r="A6" s="13">
        <v>239</v>
      </c>
      <c r="B6" s="13">
        <v>6</v>
      </c>
      <c r="C6" s="13" t="s">
        <v>110</v>
      </c>
      <c r="D6" s="117">
        <v>38176.800000000003</v>
      </c>
      <c r="E6" s="117">
        <v>25891.200000000001</v>
      </c>
      <c r="F6" s="117">
        <f t="shared" ref="F6:F14" si="0">L6*5.8/100+L6</f>
        <v>41089.3344</v>
      </c>
      <c r="G6" s="117">
        <v>18936</v>
      </c>
      <c r="H6" s="117">
        <v>41528.990278079997</v>
      </c>
      <c r="I6" s="235">
        <v>18936</v>
      </c>
      <c r="J6" s="84">
        <f>SALARIES!J84</f>
        <v>44020.729694764799</v>
      </c>
      <c r="K6" s="91"/>
      <c r="L6" s="140">
        <f t="shared" ref="L6:L14" si="1">+E6/8*12</f>
        <v>38836.800000000003</v>
      </c>
    </row>
    <row r="7" spans="1:13">
      <c r="A7" s="13">
        <v>239</v>
      </c>
      <c r="B7" s="13">
        <v>8</v>
      </c>
      <c r="C7" s="13" t="s">
        <v>151</v>
      </c>
      <c r="D7" s="117">
        <v>77421.98</v>
      </c>
      <c r="E7" s="117">
        <v>53264.46</v>
      </c>
      <c r="F7" s="117">
        <f t="shared" si="0"/>
        <v>84530.698019999996</v>
      </c>
      <c r="G7" s="117">
        <v>6877.5</v>
      </c>
      <c r="H7" s="117">
        <v>85435.176488814002</v>
      </c>
      <c r="I7" s="235">
        <v>6877.5</v>
      </c>
      <c r="J7" s="84">
        <f>SALARIES!J85</f>
        <v>90561.287078142836</v>
      </c>
      <c r="K7" s="91"/>
      <c r="L7" s="140">
        <f t="shared" si="1"/>
        <v>79896.69</v>
      </c>
    </row>
    <row r="8" spans="1:13">
      <c r="A8" s="13">
        <v>239</v>
      </c>
      <c r="B8" s="13">
        <v>10</v>
      </c>
      <c r="C8" s="13" t="s">
        <v>22</v>
      </c>
      <c r="D8" s="117">
        <v>511957.44</v>
      </c>
      <c r="E8" s="117">
        <v>355879.86</v>
      </c>
      <c r="F8" s="117">
        <f t="shared" si="0"/>
        <v>564781.33782000002</v>
      </c>
      <c r="G8" s="117">
        <v>209059.12</v>
      </c>
      <c r="H8" s="117">
        <v>570824.49813467404</v>
      </c>
      <c r="I8" s="235">
        <v>209059.12</v>
      </c>
      <c r="J8" s="84">
        <f>SALARIES!J86</f>
        <v>605073.96802275453</v>
      </c>
      <c r="K8" s="91"/>
      <c r="L8" s="140">
        <f t="shared" si="1"/>
        <v>533819.79</v>
      </c>
    </row>
    <row r="9" spans="1:13">
      <c r="A9" s="13">
        <v>239</v>
      </c>
      <c r="B9" s="13">
        <v>14</v>
      </c>
      <c r="C9" s="13" t="s">
        <v>25</v>
      </c>
      <c r="D9" s="117">
        <v>923334.6</v>
      </c>
      <c r="E9" s="117">
        <v>646334.22</v>
      </c>
      <c r="F9" s="117">
        <f t="shared" si="0"/>
        <v>1025732.4071399999</v>
      </c>
      <c r="G9" s="117">
        <v>386190.52</v>
      </c>
      <c r="H9" s="117">
        <v>1036707.7438963979</v>
      </c>
      <c r="I9" s="235">
        <v>386190.52</v>
      </c>
      <c r="J9" s="84">
        <f>SALARIES!J87</f>
        <v>1098910.2085301818</v>
      </c>
      <c r="K9" s="91"/>
      <c r="L9" s="140">
        <f t="shared" si="1"/>
        <v>969501.33</v>
      </c>
    </row>
    <row r="10" spans="1:13">
      <c r="A10" s="13">
        <v>239</v>
      </c>
      <c r="B10" s="13">
        <v>16</v>
      </c>
      <c r="C10" s="13" t="s">
        <v>27</v>
      </c>
      <c r="D10" s="117">
        <v>7965.68</v>
      </c>
      <c r="E10" s="117">
        <v>4371.0200000000004</v>
      </c>
      <c r="F10" s="117">
        <f t="shared" si="0"/>
        <v>6936.8087400000004</v>
      </c>
      <c r="G10" s="117">
        <v>3184.12</v>
      </c>
      <c r="H10" s="117">
        <v>7011.0325935180008</v>
      </c>
      <c r="I10" s="235">
        <v>3184.12</v>
      </c>
      <c r="J10" s="84">
        <f>SALARIES!J88</f>
        <v>7431.6945491290808</v>
      </c>
      <c r="K10" s="91"/>
      <c r="L10" s="140">
        <f t="shared" si="1"/>
        <v>6556.5300000000007</v>
      </c>
    </row>
    <row r="11" spans="1:13">
      <c r="A11" s="13">
        <v>239</v>
      </c>
      <c r="B11" s="13">
        <v>17</v>
      </c>
      <c r="C11" s="13" t="s">
        <v>29</v>
      </c>
      <c r="D11" s="117">
        <v>303346.8</v>
      </c>
      <c r="E11" s="117">
        <v>212041.8</v>
      </c>
      <c r="F11" s="117">
        <f t="shared" si="0"/>
        <v>336510.33659999992</v>
      </c>
      <c r="G11" s="117">
        <v>127089</v>
      </c>
      <c r="H11" s="117">
        <v>340110.9972016199</v>
      </c>
      <c r="I11" s="235">
        <v>127089</v>
      </c>
      <c r="J11" s="84">
        <f>SALARIES!J89</f>
        <v>360517.65703371709</v>
      </c>
      <c r="K11" s="91"/>
      <c r="L11" s="140">
        <f t="shared" si="1"/>
        <v>318062.69999999995</v>
      </c>
    </row>
    <row r="12" spans="1:13">
      <c r="A12" s="13">
        <v>239</v>
      </c>
      <c r="B12" s="13">
        <v>18</v>
      </c>
      <c r="C12" s="13" t="s">
        <v>31</v>
      </c>
      <c r="D12" s="117">
        <v>37259.279999999999</v>
      </c>
      <c r="E12" s="117">
        <v>18629.64</v>
      </c>
      <c r="F12" s="117">
        <f t="shared" si="0"/>
        <v>29565.238679999999</v>
      </c>
      <c r="G12" s="117">
        <v>12978.39</v>
      </c>
      <c r="H12" s="117">
        <v>29881.586733876</v>
      </c>
      <c r="I12" s="235">
        <v>12978.39</v>
      </c>
      <c r="J12" s="84">
        <f>SALARIES!J90</f>
        <v>31674.48193790856</v>
      </c>
      <c r="K12" s="91"/>
      <c r="L12" s="140">
        <f t="shared" si="1"/>
        <v>27944.46</v>
      </c>
    </row>
    <row r="13" spans="1:13">
      <c r="A13" s="13">
        <v>239</v>
      </c>
      <c r="B13" s="13">
        <v>102</v>
      </c>
      <c r="C13" s="13" t="s">
        <v>66</v>
      </c>
      <c r="D13" s="117">
        <v>47079.76</v>
      </c>
      <c r="E13" s="117">
        <v>32748.04</v>
      </c>
      <c r="F13" s="117">
        <f t="shared" si="0"/>
        <v>51971.139479999998</v>
      </c>
      <c r="G13" s="117">
        <v>19367.97</v>
      </c>
      <c r="H13" s="117">
        <v>52527.230672435995</v>
      </c>
      <c r="I13" s="235">
        <v>19367.97</v>
      </c>
      <c r="J13" s="84">
        <f>SALARIES!J91</f>
        <v>55678.864512782151</v>
      </c>
      <c r="K13" s="91"/>
      <c r="L13" s="140">
        <f t="shared" si="1"/>
        <v>49122.06</v>
      </c>
    </row>
    <row r="14" spans="1:13">
      <c r="A14" s="13">
        <v>239</v>
      </c>
      <c r="B14" s="13">
        <v>104</v>
      </c>
      <c r="C14" s="13" t="s">
        <v>34</v>
      </c>
      <c r="D14" s="117">
        <v>212.66</v>
      </c>
      <c r="E14" s="117">
        <v>146.15</v>
      </c>
      <c r="F14" s="117">
        <f t="shared" si="0"/>
        <v>231.94005000000001</v>
      </c>
      <c r="G14" s="117">
        <v>97.9</v>
      </c>
      <c r="H14" s="117">
        <v>234.42180853500003</v>
      </c>
      <c r="I14" s="235">
        <v>97.9</v>
      </c>
      <c r="J14" s="84">
        <f>SALARIES!J92</f>
        <v>248.48711704710001</v>
      </c>
      <c r="K14" s="91"/>
      <c r="L14" s="140">
        <f t="shared" si="1"/>
        <v>219.22500000000002</v>
      </c>
    </row>
    <row r="15" spans="1:13">
      <c r="D15" s="118">
        <f t="shared" ref="D15:J15" si="2">SUM(D5:D14)</f>
        <v>5716249.5599999996</v>
      </c>
      <c r="E15" s="118">
        <f t="shared" si="2"/>
        <v>3967661.43</v>
      </c>
      <c r="F15" s="118">
        <f t="shared" si="2"/>
        <v>6043583.4809300015</v>
      </c>
      <c r="G15" s="118">
        <f t="shared" si="2"/>
        <v>2351197.1900000004</v>
      </c>
      <c r="H15" s="118">
        <f t="shared" si="2"/>
        <v>6108249.8241759501</v>
      </c>
      <c r="I15" s="236">
        <f t="shared" si="2"/>
        <v>2447934.5200000005</v>
      </c>
      <c r="J15" s="74">
        <f t="shared" si="2"/>
        <v>6538344.8136265101</v>
      </c>
      <c r="K15" s="74"/>
      <c r="L15" s="44"/>
    </row>
    <row r="16" spans="1:13">
      <c r="D16" s="118"/>
      <c r="E16" s="118"/>
      <c r="F16" s="118"/>
      <c r="G16" s="118"/>
      <c r="H16" s="118"/>
      <c r="I16" s="236"/>
      <c r="J16" s="47"/>
      <c r="K16" s="47"/>
      <c r="L16" s="44"/>
    </row>
    <row r="17" spans="1:16">
      <c r="A17" s="1" t="s">
        <v>44</v>
      </c>
      <c r="D17" s="118"/>
      <c r="E17" s="118"/>
      <c r="F17" s="118"/>
      <c r="G17" s="118"/>
      <c r="H17" s="118"/>
      <c r="I17" s="236"/>
      <c r="J17" s="47"/>
      <c r="K17" s="47"/>
      <c r="L17" s="44"/>
    </row>
    <row r="18" spans="1:16">
      <c r="A18" s="13">
        <v>239</v>
      </c>
      <c r="B18" s="13">
        <v>210</v>
      </c>
      <c r="C18" s="13" t="s">
        <v>44</v>
      </c>
      <c r="D18" s="117">
        <v>53936.21</v>
      </c>
      <c r="E18" s="117">
        <v>0</v>
      </c>
      <c r="F18" s="117">
        <f>'NON CASH'!G7</f>
        <v>55014.934199999996</v>
      </c>
      <c r="G18" s="117">
        <v>0</v>
      </c>
      <c r="H18" s="117">
        <f>'NON CASH'!H7</f>
        <v>57765.680909999995</v>
      </c>
      <c r="I18" s="235"/>
      <c r="J18" s="84">
        <f>'NON CASH'!I7</f>
        <v>58920.994528199997</v>
      </c>
      <c r="K18" s="91"/>
      <c r="L18" s="140">
        <f>E18/8*12</f>
        <v>0</v>
      </c>
    </row>
    <row r="19" spans="1:16">
      <c r="A19" s="42"/>
      <c r="B19" s="42"/>
      <c r="C19" s="42"/>
      <c r="D19" s="119"/>
      <c r="E19" s="119"/>
      <c r="F19" s="120">
        <f>F18</f>
        <v>55014.934199999996</v>
      </c>
      <c r="G19" s="120">
        <f>G18</f>
        <v>0</v>
      </c>
      <c r="H19" s="120">
        <f>H18</f>
        <v>57765.680909999995</v>
      </c>
      <c r="I19" s="237">
        <f>I18</f>
        <v>0</v>
      </c>
      <c r="J19" s="92">
        <f>J18</f>
        <v>58920.994528199997</v>
      </c>
      <c r="K19" s="92"/>
      <c r="L19" s="140"/>
    </row>
    <row r="20" spans="1:16">
      <c r="D20" s="118"/>
      <c r="E20" s="118"/>
      <c r="F20" s="118"/>
      <c r="G20" s="118"/>
      <c r="H20" s="118"/>
      <c r="I20" s="236"/>
      <c r="J20" s="47"/>
      <c r="K20" s="47"/>
      <c r="L20" s="183"/>
    </row>
    <row r="21" spans="1:16">
      <c r="A21" s="1" t="s">
        <v>924</v>
      </c>
      <c r="B21" s="1"/>
      <c r="D21" s="118"/>
      <c r="E21" s="118"/>
      <c r="F21" s="118"/>
      <c r="G21" s="118"/>
      <c r="H21" s="118"/>
      <c r="I21" s="236"/>
      <c r="J21" s="47"/>
      <c r="K21" s="47"/>
      <c r="L21" s="140"/>
    </row>
    <row r="22" spans="1:16" s="1" customFormat="1">
      <c r="A22" s="17">
        <v>239</v>
      </c>
      <c r="B22" s="17">
        <v>183</v>
      </c>
      <c r="C22" s="17" t="s">
        <v>75</v>
      </c>
      <c r="D22" s="122">
        <v>165000</v>
      </c>
      <c r="E22" s="122">
        <v>144800</v>
      </c>
      <c r="F22" s="122">
        <f>120000+150000</f>
        <v>270000</v>
      </c>
      <c r="G22" s="122">
        <v>176600</v>
      </c>
      <c r="H22" s="122">
        <v>353200</v>
      </c>
      <c r="I22" s="242">
        <v>231500</v>
      </c>
      <c r="J22" s="31">
        <v>500000</v>
      </c>
      <c r="K22" s="289">
        <f t="shared" ref="K22:K27" si="3">I22/7*12</f>
        <v>396857.14285714284</v>
      </c>
      <c r="L22" s="183"/>
    </row>
    <row r="23" spans="1:16">
      <c r="A23" s="13">
        <v>239</v>
      </c>
      <c r="B23" s="13">
        <v>179</v>
      </c>
      <c r="C23" s="13" t="s">
        <v>73</v>
      </c>
      <c r="D23" s="117">
        <v>125000</v>
      </c>
      <c r="E23" s="117">
        <v>85959</v>
      </c>
      <c r="F23" s="117">
        <v>129000</v>
      </c>
      <c r="G23" s="117">
        <v>24390</v>
      </c>
      <c r="H23" s="117">
        <v>50000</v>
      </c>
      <c r="I23" s="235">
        <v>25990</v>
      </c>
      <c r="J23" s="80">
        <v>44554.28571428571</v>
      </c>
      <c r="K23" s="289">
        <f t="shared" si="3"/>
        <v>44554.28571428571</v>
      </c>
      <c r="L23" s="140">
        <f>E23/8*12</f>
        <v>128938.5</v>
      </c>
    </row>
    <row r="24" spans="1:16">
      <c r="A24" s="13">
        <v>239</v>
      </c>
      <c r="B24" s="13">
        <v>195</v>
      </c>
      <c r="C24" s="13" t="s">
        <v>38</v>
      </c>
      <c r="D24" s="117">
        <v>400000</v>
      </c>
      <c r="E24" s="117">
        <v>452494.53</v>
      </c>
      <c r="F24" s="117">
        <v>500000</v>
      </c>
      <c r="G24" s="117">
        <v>496121.27</v>
      </c>
      <c r="H24" s="117">
        <v>780000</v>
      </c>
      <c r="I24" s="235">
        <v>507325.74</v>
      </c>
      <c r="J24" s="80">
        <v>860000</v>
      </c>
      <c r="K24" s="289">
        <f t="shared" si="3"/>
        <v>869701.26857142861</v>
      </c>
      <c r="L24" s="140">
        <f>E24/8*12</f>
        <v>678741.79500000004</v>
      </c>
    </row>
    <row r="25" spans="1:16">
      <c r="A25" s="13">
        <v>239</v>
      </c>
      <c r="B25" s="13">
        <v>203</v>
      </c>
      <c r="C25" s="13" t="s">
        <v>161</v>
      </c>
      <c r="D25" s="117">
        <v>300000</v>
      </c>
      <c r="E25" s="117">
        <v>47800</v>
      </c>
      <c r="F25" s="117">
        <v>0</v>
      </c>
      <c r="G25" s="117">
        <v>236.84</v>
      </c>
      <c r="H25" s="117">
        <v>0</v>
      </c>
      <c r="I25" s="235">
        <v>236.84</v>
      </c>
      <c r="J25" s="80">
        <v>406.01142857142855</v>
      </c>
      <c r="K25" s="289">
        <f t="shared" si="3"/>
        <v>406.01142857142855</v>
      </c>
      <c r="L25" s="140">
        <f>E25/8*12</f>
        <v>71700</v>
      </c>
    </row>
    <row r="26" spans="1:16" s="35" customFormat="1">
      <c r="A26" s="79">
        <v>239</v>
      </c>
      <c r="B26" s="79">
        <v>204</v>
      </c>
      <c r="C26" s="79" t="s">
        <v>42</v>
      </c>
      <c r="D26" s="117">
        <v>20000</v>
      </c>
      <c r="E26" s="117">
        <v>20492.43</v>
      </c>
      <c r="F26" s="117">
        <v>35000</v>
      </c>
      <c r="G26" s="117">
        <v>53317.31</v>
      </c>
      <c r="H26" s="117">
        <v>100000</v>
      </c>
      <c r="I26" s="235">
        <v>53317.31</v>
      </c>
      <c r="J26" s="84">
        <v>91401.102857142861</v>
      </c>
      <c r="K26" s="289">
        <f t="shared" si="3"/>
        <v>91401.102857142861</v>
      </c>
      <c r="L26" s="165">
        <f>E26/8*12</f>
        <v>30738.645</v>
      </c>
    </row>
    <row r="27" spans="1:16">
      <c r="A27" s="13">
        <v>239</v>
      </c>
      <c r="B27" s="13">
        <v>211</v>
      </c>
      <c r="C27" s="13" t="s">
        <v>163</v>
      </c>
      <c r="D27" s="117">
        <v>8000</v>
      </c>
      <c r="E27" s="117">
        <v>4000</v>
      </c>
      <c r="F27" s="117">
        <v>6000</v>
      </c>
      <c r="G27" s="117">
        <v>0</v>
      </c>
      <c r="H27" s="117">
        <v>0</v>
      </c>
      <c r="I27" s="235">
        <v>0</v>
      </c>
      <c r="J27" s="80">
        <v>0</v>
      </c>
      <c r="K27" s="289">
        <f t="shared" si="3"/>
        <v>0</v>
      </c>
      <c r="L27" s="140">
        <f>E27/8*12</f>
        <v>6000</v>
      </c>
    </row>
    <row r="28" spans="1:16">
      <c r="D28" s="118">
        <f>SUM(D23:D27)</f>
        <v>853000</v>
      </c>
      <c r="E28" s="118">
        <f>SUM(E23:E27)</f>
        <v>610745.96000000008</v>
      </c>
      <c r="F28" s="118">
        <f>SUM(F22:F27)</f>
        <v>940000</v>
      </c>
      <c r="G28" s="118">
        <f>SUM(G22:G27)</f>
        <v>750665.41999999993</v>
      </c>
      <c r="H28" s="118">
        <f>SUM(H22:H27)</f>
        <v>1283200</v>
      </c>
      <c r="I28" s="236">
        <f>SUM(I22:I27)</f>
        <v>818369.8899999999</v>
      </c>
      <c r="J28" s="74">
        <f>SUM(J22:J27)</f>
        <v>1496361.4000000001</v>
      </c>
      <c r="K28" s="74"/>
    </row>
    <row r="29" spans="1:16" ht="15.75" thickBot="1">
      <c r="D29" s="118"/>
      <c r="E29" s="118"/>
      <c r="F29" s="118"/>
      <c r="G29" s="118"/>
      <c r="H29" s="118"/>
      <c r="I29" s="236"/>
      <c r="J29" s="47"/>
      <c r="K29" s="47"/>
    </row>
    <row r="30" spans="1:16" s="1" customFormat="1" ht="15.75" thickBot="1">
      <c r="A30" s="1" t="s">
        <v>923</v>
      </c>
      <c r="D30" s="121"/>
      <c r="E30" s="121"/>
      <c r="F30" s="121"/>
      <c r="G30" s="121"/>
      <c r="H30" s="121"/>
      <c r="I30" s="238"/>
      <c r="J30" s="44"/>
      <c r="K30" s="44"/>
      <c r="L30" s="44"/>
      <c r="M30" s="61" t="s">
        <v>916</v>
      </c>
      <c r="N30" s="46" t="s">
        <v>1105</v>
      </c>
      <c r="O30" s="59" t="s">
        <v>1103</v>
      </c>
      <c r="P30" s="59" t="s">
        <v>1117</v>
      </c>
    </row>
    <row r="31" spans="1:16">
      <c r="A31" s="13">
        <v>239</v>
      </c>
      <c r="B31" s="13">
        <v>8831</v>
      </c>
      <c r="C31" s="13" t="s">
        <v>165</v>
      </c>
      <c r="D31" s="117">
        <v>-500000</v>
      </c>
      <c r="E31" s="117">
        <v>0</v>
      </c>
      <c r="F31" s="117">
        <f>GRANTS!G10</f>
        <v>-532000</v>
      </c>
      <c r="G31" s="117">
        <v>0</v>
      </c>
      <c r="H31" s="117">
        <f>GRANTS!H10</f>
        <v>-532000</v>
      </c>
      <c r="I31" s="235"/>
      <c r="J31" s="80">
        <f>GRANTS!I10</f>
        <v>-732000</v>
      </c>
      <c r="K31" s="40"/>
      <c r="L31" s="44" t="s">
        <v>960</v>
      </c>
      <c r="M31" s="44">
        <f>D15+D28</f>
        <v>6569249.5599999996</v>
      </c>
      <c r="N31" s="27">
        <f>F15+F19+F28</f>
        <v>7038598.4151300015</v>
      </c>
      <c r="O31" s="27">
        <f>H15+H19+H28</f>
        <v>7449215.5050859498</v>
      </c>
      <c r="P31" s="27">
        <f>J15+J19+J28</f>
        <v>8093627.20815471</v>
      </c>
    </row>
    <row r="32" spans="1:16">
      <c r="A32" s="13">
        <v>239</v>
      </c>
      <c r="B32" s="13">
        <v>8875</v>
      </c>
      <c r="C32" s="13" t="s">
        <v>121</v>
      </c>
      <c r="D32" s="117">
        <v>-6361891.79</v>
      </c>
      <c r="E32" s="117">
        <v>0</v>
      </c>
      <c r="F32" s="117">
        <f>GRANTS!G11</f>
        <v>-8215129.0700000003</v>
      </c>
      <c r="G32" s="117">
        <v>0</v>
      </c>
      <c r="H32" s="117">
        <f>GRANTS!H11</f>
        <v>-8215129.0700000003</v>
      </c>
      <c r="I32" s="235"/>
      <c r="J32" s="80">
        <f>GRANTS!I11</f>
        <v>-8215129.0700000003</v>
      </c>
      <c r="K32" s="40"/>
      <c r="L32" s="44" t="s">
        <v>961</v>
      </c>
      <c r="M32" s="44">
        <f>D33</f>
        <v>-6861891.79</v>
      </c>
      <c r="N32" s="27">
        <f>F33</f>
        <v>-8747129.0700000003</v>
      </c>
      <c r="O32" s="27">
        <f>H33</f>
        <v>-8747129.0700000003</v>
      </c>
      <c r="P32" s="27">
        <f>J33</f>
        <v>-8947129.0700000003</v>
      </c>
    </row>
    <row r="33" spans="1:16" ht="15.75" thickBot="1">
      <c r="D33" s="118">
        <f t="shared" ref="D33:J33" si="4">SUM(D31:D32)</f>
        <v>-6861891.79</v>
      </c>
      <c r="E33" s="118">
        <f t="shared" si="4"/>
        <v>0</v>
      </c>
      <c r="F33" s="118">
        <f t="shared" si="4"/>
        <v>-8747129.0700000003</v>
      </c>
      <c r="G33" s="118">
        <f t="shared" si="4"/>
        <v>0</v>
      </c>
      <c r="H33" s="118">
        <f t="shared" si="4"/>
        <v>-8747129.0700000003</v>
      </c>
      <c r="I33" s="236">
        <f t="shared" si="4"/>
        <v>0</v>
      </c>
      <c r="J33" s="74">
        <f t="shared" si="4"/>
        <v>-8947129.0700000003</v>
      </c>
      <c r="K33" s="74"/>
      <c r="M33" s="50">
        <f>M31+M32</f>
        <v>-292642.23000000045</v>
      </c>
      <c r="N33" s="50">
        <f>N31+N32</f>
        <v>-1708530.6548699988</v>
      </c>
      <c r="O33" s="50">
        <f>O31+O32</f>
        <v>-1297913.5649140505</v>
      </c>
      <c r="P33" s="50">
        <f>P31+P32</f>
        <v>-853501.86184529029</v>
      </c>
    </row>
    <row r="34" spans="1:16" ht="15.75" thickTop="1">
      <c r="G34" s="115"/>
      <c r="H34" s="115"/>
      <c r="I34" s="239"/>
    </row>
    <row r="35" spans="1:16">
      <c r="G35" s="115"/>
      <c r="H35" s="115"/>
      <c r="I35" s="239"/>
    </row>
    <row r="36" spans="1:16">
      <c r="G36" s="115"/>
      <c r="H36" s="115"/>
      <c r="I36" s="239"/>
    </row>
    <row r="37" spans="1:16">
      <c r="A37" s="35"/>
      <c r="B37" s="35"/>
      <c r="C37" s="78" t="s">
        <v>1110</v>
      </c>
      <c r="D37" s="124"/>
      <c r="F37" s="196"/>
      <c r="G37" s="115"/>
      <c r="H37" s="196"/>
      <c r="I37" s="239"/>
    </row>
    <row r="38" spans="1:16" ht="15.75" thickBot="1">
      <c r="A38" s="35"/>
      <c r="B38" s="35"/>
      <c r="C38" s="38"/>
      <c r="G38" s="115"/>
      <c r="H38" s="115"/>
      <c r="I38" s="239"/>
    </row>
    <row r="39" spans="1:16" ht="15.75" thickBot="1">
      <c r="A39" s="35"/>
      <c r="B39" s="35"/>
      <c r="C39" s="61" t="s">
        <v>916</v>
      </c>
      <c r="D39" s="163" t="s">
        <v>1102</v>
      </c>
      <c r="E39" s="223"/>
      <c r="F39" s="224" t="s">
        <v>1103</v>
      </c>
      <c r="G39" s="115"/>
      <c r="H39" s="224" t="s">
        <v>1117</v>
      </c>
      <c r="I39" s="239"/>
    </row>
    <row r="40" spans="1:16">
      <c r="A40" s="35">
        <v>239</v>
      </c>
      <c r="B40" s="35" t="s">
        <v>989</v>
      </c>
      <c r="C40" s="38">
        <f>M33</f>
        <v>-292642.23000000045</v>
      </c>
      <c r="D40" s="115">
        <f>N33</f>
        <v>-1708530.6548699988</v>
      </c>
      <c r="E40" s="115">
        <f>O33</f>
        <v>-1297913.5649140505</v>
      </c>
      <c r="F40" s="115">
        <f>O33</f>
        <v>-1297913.5649140505</v>
      </c>
      <c r="G40" s="115">
        <f>P33</f>
        <v>-853501.86184529029</v>
      </c>
      <c r="H40" s="115">
        <f>P33</f>
        <v>-853501.86184529029</v>
      </c>
      <c r="I40" s="239"/>
    </row>
    <row r="41" spans="1:16">
      <c r="G41" s="115"/>
      <c r="H41" s="115"/>
      <c r="I41" s="239"/>
    </row>
    <row r="42" spans="1:16">
      <c r="G42" s="115"/>
      <c r="H42" s="115"/>
      <c r="I42" s="239"/>
    </row>
    <row r="43" spans="1:16">
      <c r="G43" s="115"/>
      <c r="H43" s="115"/>
      <c r="I43" s="239"/>
    </row>
    <row r="44" spans="1:16">
      <c r="G44" s="115"/>
      <c r="H44" s="115"/>
      <c r="I44" s="239"/>
    </row>
    <row r="45" spans="1:16">
      <c r="G45" s="115"/>
      <c r="H45" s="115"/>
      <c r="I45" s="239"/>
    </row>
    <row r="46" spans="1:16">
      <c r="G46" s="115"/>
      <c r="H46" s="115"/>
      <c r="I46" s="239"/>
    </row>
    <row r="47" spans="1:16" ht="409.6">
      <c r="G47" s="115"/>
      <c r="H47" s="115"/>
      <c r="I47" s="239"/>
    </row>
    <row r="48" spans="1:16" ht="409.6">
      <c r="G48" s="115"/>
      <c r="H48" s="115"/>
      <c r="I48" s="239"/>
    </row>
    <row r="49" spans="7:9" ht="409.6">
      <c r="G49" s="115"/>
      <c r="H49" s="115"/>
      <c r="I49" s="239"/>
    </row>
    <row r="50" spans="7:9" ht="409.6">
      <c r="G50" s="115"/>
      <c r="H50" s="115"/>
      <c r="I50" s="239"/>
    </row>
    <row r="51" spans="7:9" ht="409.6">
      <c r="G51" s="115"/>
      <c r="H51" s="115"/>
      <c r="I51" s="239"/>
    </row>
    <row r="52" spans="7:9" ht="409.6">
      <c r="G52" s="115"/>
      <c r="H52" s="115"/>
      <c r="I52" s="239"/>
    </row>
    <row r="53" spans="7:9" ht="409.6">
      <c r="G53" s="115"/>
      <c r="H53" s="115"/>
      <c r="I53" s="239"/>
    </row>
    <row r="54" spans="7:9" ht="409.6">
      <c r="G54" s="115"/>
      <c r="H54" s="115"/>
      <c r="I54" s="239"/>
    </row>
    <row r="55" spans="7:9" ht="409.6">
      <c r="G55" s="115"/>
      <c r="H55" s="115"/>
      <c r="I55" s="239"/>
    </row>
    <row r="56" spans="7:9" ht="409.6">
      <c r="G56" s="115"/>
      <c r="H56" s="115"/>
      <c r="I56" s="239"/>
    </row>
    <row r="57" spans="7:9" ht="409.6">
      <c r="G57" s="115"/>
      <c r="H57" s="115"/>
      <c r="I57" s="239"/>
    </row>
    <row r="58" spans="7:9" ht="409.6">
      <c r="G58" s="115"/>
      <c r="H58" s="115"/>
      <c r="I58" s="239"/>
    </row>
    <row r="59" spans="7:9" ht="409.6">
      <c r="G59" s="115"/>
      <c r="H59" s="115"/>
      <c r="I59" s="239"/>
    </row>
    <row r="60" spans="7:9" ht="409.6">
      <c r="G60" s="115"/>
      <c r="H60" s="115"/>
      <c r="I60" s="239"/>
    </row>
    <row r="61" spans="7:9" ht="409.6">
      <c r="G61" s="115"/>
      <c r="H61" s="115"/>
      <c r="I61" s="239"/>
    </row>
    <row r="62" spans="7:9" ht="409.6">
      <c r="G62" s="115"/>
      <c r="H62" s="115"/>
      <c r="I62" s="239"/>
    </row>
    <row r="63" spans="7:9" ht="409.6">
      <c r="G63" s="115"/>
      <c r="H63" s="115"/>
      <c r="I63" s="239"/>
    </row>
    <row r="64" spans="7:9" ht="409.6">
      <c r="G64" s="115"/>
      <c r="H64" s="115"/>
      <c r="I64" s="239"/>
    </row>
    <row r="65" spans="7:9" ht="409.6">
      <c r="G65" s="115"/>
      <c r="H65" s="115"/>
      <c r="I65" s="239"/>
    </row>
    <row r="66" spans="7:9" ht="409.6">
      <c r="G66" s="115"/>
      <c r="H66" s="115"/>
      <c r="I66" s="239"/>
    </row>
    <row r="67" spans="7:9" ht="409.6">
      <c r="G67" s="115"/>
      <c r="H67" s="115"/>
      <c r="I67" s="239"/>
    </row>
    <row r="68" spans="7:9" ht="409.6">
      <c r="G68" s="115"/>
      <c r="H68" s="115"/>
      <c r="I68" s="239"/>
    </row>
    <row r="69" spans="7:9" ht="409.6">
      <c r="G69" s="115"/>
      <c r="H69" s="115"/>
      <c r="I69" s="239"/>
    </row>
    <row r="70" spans="7:9" ht="409.6">
      <c r="G70" s="115"/>
      <c r="H70" s="115"/>
      <c r="I70" s="239"/>
    </row>
    <row r="71" spans="7:9" ht="409.6">
      <c r="G71" s="115"/>
      <c r="H71" s="115"/>
      <c r="I71" s="239"/>
    </row>
    <row r="72" spans="7:9" ht="409.6">
      <c r="G72" s="115"/>
      <c r="H72" s="115"/>
      <c r="I72" s="239"/>
    </row>
    <row r="73" spans="7:9" ht="409.6">
      <c r="G73" s="115"/>
      <c r="H73" s="115"/>
      <c r="I73" s="239"/>
    </row>
    <row r="74" spans="7:9" ht="409.6">
      <c r="G74" s="115"/>
      <c r="H74" s="115"/>
      <c r="I74" s="239"/>
    </row>
    <row r="75" spans="7:9" ht="409.6">
      <c r="G75" s="115"/>
      <c r="H75" s="115"/>
      <c r="I75" s="239"/>
    </row>
    <row r="76" spans="7:9" ht="409.6">
      <c r="G76" s="115"/>
      <c r="H76" s="115"/>
      <c r="I76" s="239"/>
    </row>
    <row r="77" spans="7:9" ht="409.6">
      <c r="G77" s="115"/>
      <c r="H77" s="115"/>
      <c r="I77" s="239"/>
    </row>
    <row r="78" spans="7:9" ht="409.6">
      <c r="G78" s="115"/>
      <c r="H78" s="115"/>
      <c r="I78" s="239"/>
    </row>
    <row r="79" spans="7:9" ht="409.6">
      <c r="G79" s="115"/>
      <c r="H79" s="115"/>
      <c r="I79" s="239"/>
    </row>
    <row r="80" spans="7:9" ht="409.6">
      <c r="G80" s="115"/>
      <c r="H80" s="115"/>
      <c r="I80" s="239"/>
    </row>
    <row r="81" spans="7:9" ht="409.6">
      <c r="G81" s="115"/>
      <c r="H81" s="115"/>
      <c r="I81" s="239"/>
    </row>
    <row r="82" spans="7:9" ht="409.6">
      <c r="G82" s="115"/>
      <c r="H82" s="115"/>
      <c r="I82" s="239"/>
    </row>
    <row r="83" spans="7:9" ht="409.6">
      <c r="G83" s="115"/>
      <c r="H83" s="115"/>
      <c r="I83" s="239"/>
    </row>
    <row r="84" spans="7:9" ht="409.6">
      <c r="G84" s="115"/>
      <c r="H84" s="115"/>
      <c r="I84" s="239"/>
    </row>
    <row r="85" spans="7:9" ht="409.6">
      <c r="G85" s="115"/>
      <c r="H85" s="115"/>
      <c r="I85" s="239"/>
    </row>
    <row r="86" spans="7:9" ht="409.6">
      <c r="G86" s="115"/>
      <c r="H86" s="115"/>
      <c r="I86" s="239"/>
    </row>
    <row r="87" spans="7:9" ht="409.6">
      <c r="G87" s="115"/>
      <c r="H87" s="115"/>
      <c r="I87" s="239"/>
    </row>
    <row r="88" spans="7:9" ht="409.6">
      <c r="G88" s="115"/>
      <c r="H88" s="115"/>
      <c r="I88" s="239"/>
    </row>
    <row r="89" spans="7:9" ht="409.6">
      <c r="G89" s="115"/>
      <c r="H89" s="115"/>
      <c r="I89" s="239"/>
    </row>
    <row r="90" spans="7:9" ht="409.6">
      <c r="G90" s="115"/>
      <c r="H90" s="115"/>
      <c r="I90" s="239"/>
    </row>
    <row r="91" spans="7:9" ht="409.6">
      <c r="G91" s="115"/>
      <c r="H91" s="115"/>
      <c r="I91" s="239"/>
    </row>
    <row r="92" spans="7:9" ht="409.6">
      <c r="G92" s="115"/>
      <c r="H92" s="115"/>
      <c r="I92" s="239"/>
    </row>
  </sheetData>
  <pageMargins left="0.70866141732283472" right="0.70866141732283472" top="0.74803149606299213" bottom="0.74803149606299213" header="0.31496062992125984" footer="0.31496062992125984"/>
  <pageSetup scale="61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6"/>
  <sheetViews>
    <sheetView topLeftCell="D1" zoomScaleNormal="100" workbookViewId="0">
      <pane ySplit="2" topLeftCell="A17" activePane="bottomLeft" state="frozen"/>
      <selection pane="bottomLeft" activeCell="J5" sqref="J5:J35"/>
    </sheetView>
  </sheetViews>
  <sheetFormatPr defaultRowHeight="15"/>
  <cols>
    <col min="3" max="3" width="34.7109375" customWidth="1"/>
    <col min="4" max="4" width="26" style="102" bestFit="1" customWidth="1"/>
    <col min="5" max="5" width="24" style="102" hidden="1" customWidth="1"/>
    <col min="6" max="6" width="26" style="102" bestFit="1" customWidth="1"/>
    <col min="7" max="7" width="20.7109375" style="133" hidden="1" customWidth="1"/>
    <col min="8" max="8" width="26" style="27" bestFit="1" customWidth="1"/>
    <col min="9" max="10" width="26" style="27" customWidth="1"/>
    <col min="11" max="11" width="26" style="27" hidden="1" customWidth="1"/>
    <col min="12" max="12" width="26" style="297" customWidth="1"/>
    <col min="13" max="13" width="23" customWidth="1"/>
    <col min="14" max="14" width="19.7109375" bestFit="1" customWidth="1"/>
    <col min="15" max="17" width="26" bestFit="1" customWidth="1"/>
  </cols>
  <sheetData>
    <row r="1" spans="1:13" ht="15.75" thickBot="1">
      <c r="A1" s="147"/>
      <c r="B1" s="147"/>
      <c r="C1" s="147"/>
      <c r="D1" s="148"/>
      <c r="E1" s="148"/>
      <c r="F1" s="148"/>
      <c r="H1" s="148"/>
      <c r="I1" s="148"/>
      <c r="J1" s="148"/>
      <c r="K1" s="38"/>
      <c r="L1" s="293"/>
      <c r="M1" s="27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34" t="s">
        <v>1104</v>
      </c>
      <c r="H2" s="152" t="s">
        <v>1103</v>
      </c>
      <c r="I2" s="152" t="s">
        <v>1118</v>
      </c>
      <c r="J2" s="152" t="s">
        <v>1123</v>
      </c>
      <c r="K2" s="249"/>
      <c r="L2" s="294"/>
      <c r="M2" s="44"/>
    </row>
    <row r="3" spans="1:13">
      <c r="A3" s="39"/>
      <c r="B3" s="39"/>
      <c r="C3" s="39"/>
      <c r="D3" s="103"/>
      <c r="E3" s="103"/>
      <c r="F3" s="103"/>
      <c r="G3" s="103"/>
      <c r="H3" s="103"/>
      <c r="I3" s="234"/>
      <c r="J3" s="73"/>
      <c r="K3" s="38"/>
      <c r="L3" s="293"/>
    </row>
    <row r="4" spans="1:13">
      <c r="A4" s="39" t="s">
        <v>921</v>
      </c>
      <c r="B4" s="39"/>
      <c r="C4" s="39"/>
      <c r="D4" s="103"/>
      <c r="E4" s="103"/>
      <c r="F4" s="103"/>
      <c r="G4" s="103"/>
      <c r="H4" s="103"/>
      <c r="I4" s="234"/>
      <c r="J4" s="73"/>
      <c r="K4" s="38"/>
      <c r="L4" s="293"/>
    </row>
    <row r="5" spans="1:13">
      <c r="A5" s="13">
        <v>267</v>
      </c>
      <c r="B5" s="13">
        <v>1</v>
      </c>
      <c r="C5" s="13" t="s">
        <v>16</v>
      </c>
      <c r="D5" s="104">
        <v>330852.09999999998</v>
      </c>
      <c r="E5" s="104">
        <v>240396.47</v>
      </c>
      <c r="F5" s="104">
        <f>K5*5.8/100+K5</f>
        <v>381509.19789000001</v>
      </c>
      <c r="G5" s="104">
        <v>216445.83</v>
      </c>
      <c r="H5" s="104">
        <v>387994.85425412998</v>
      </c>
      <c r="I5" s="235">
        <v>231264.71</v>
      </c>
      <c r="J5" s="84">
        <f>SALARIES!J139</f>
        <v>411274.54550937779</v>
      </c>
      <c r="K5" s="165">
        <f>+E5/8*12</f>
        <v>360594.70500000002</v>
      </c>
      <c r="L5" s="293"/>
    </row>
    <row r="6" spans="1:13">
      <c r="A6" s="13">
        <v>267</v>
      </c>
      <c r="B6" s="13">
        <v>8</v>
      </c>
      <c r="C6" s="13" t="s">
        <v>21</v>
      </c>
      <c r="D6" s="104">
        <v>7046.6</v>
      </c>
      <c r="E6" s="104">
        <v>3523.3</v>
      </c>
      <c r="F6" s="104">
        <f t="shared" ref="F6:F12" si="0">K6*5.8/100+K6</f>
        <v>5591.477100000001</v>
      </c>
      <c r="G6" s="104">
        <v>4511.8599999999997</v>
      </c>
      <c r="H6" s="104">
        <v>5686.5322107000011</v>
      </c>
      <c r="I6" s="235">
        <v>4511.8599999999997</v>
      </c>
      <c r="J6" s="84">
        <f>SALARIES!J140</f>
        <v>6027.7241433420013</v>
      </c>
      <c r="K6" s="165">
        <f t="shared" ref="K6:K12" si="1">+E6/8*12</f>
        <v>5284.9500000000007</v>
      </c>
      <c r="L6" s="293"/>
    </row>
    <row r="7" spans="1:13">
      <c r="A7" s="13">
        <v>267</v>
      </c>
      <c r="B7" s="13">
        <v>10</v>
      </c>
      <c r="C7" s="13" t="s">
        <v>22</v>
      </c>
      <c r="D7" s="104">
        <v>37186.800000000003</v>
      </c>
      <c r="E7" s="104">
        <v>26030.76</v>
      </c>
      <c r="F7" s="104">
        <f t="shared" si="0"/>
        <v>41310.816120000003</v>
      </c>
      <c r="G7" s="104">
        <v>19894.939999999999</v>
      </c>
      <c r="H7" s="104">
        <v>42013.09999404</v>
      </c>
      <c r="I7" s="235">
        <v>19894.939999999999</v>
      </c>
      <c r="J7" s="84">
        <f>SALARIES!J141</f>
        <v>44533.885993682401</v>
      </c>
      <c r="K7" s="165">
        <f t="shared" si="1"/>
        <v>39046.14</v>
      </c>
      <c r="L7" s="293"/>
    </row>
    <row r="8" spans="1:13">
      <c r="A8" s="13">
        <v>267</v>
      </c>
      <c r="B8" s="13">
        <v>16</v>
      </c>
      <c r="C8" s="13" t="s">
        <v>27</v>
      </c>
      <c r="D8" s="104">
        <v>2951.2</v>
      </c>
      <c r="E8" s="104">
        <v>2184.6799999999998</v>
      </c>
      <c r="F8" s="104">
        <f t="shared" si="0"/>
        <v>3467.0871599999996</v>
      </c>
      <c r="G8" s="104">
        <v>1961.4</v>
      </c>
      <c r="H8" s="104">
        <v>3526.0276417199998</v>
      </c>
      <c r="I8" s="235">
        <v>1961.4</v>
      </c>
      <c r="J8" s="84">
        <f>SALARIES!J142</f>
        <v>3737.5893002231996</v>
      </c>
      <c r="K8" s="165">
        <f>+E8/8*12</f>
        <v>3277.0199999999995</v>
      </c>
      <c r="L8" s="293"/>
    </row>
    <row r="9" spans="1:13">
      <c r="A9" s="13">
        <v>267</v>
      </c>
      <c r="B9" s="13">
        <v>17</v>
      </c>
      <c r="C9" s="13" t="s">
        <v>29</v>
      </c>
      <c r="D9" s="104">
        <v>21263.040000000001</v>
      </c>
      <c r="E9" s="104">
        <v>200</v>
      </c>
      <c r="F9" s="104">
        <f t="shared" si="0"/>
        <v>317.39999999999998</v>
      </c>
      <c r="G9" s="104">
        <v>0</v>
      </c>
      <c r="H9" s="104">
        <v>322.79579999999999</v>
      </c>
      <c r="I9" s="235">
        <v>0</v>
      </c>
      <c r="J9" s="84">
        <f>SALARIES!J143</f>
        <v>342.16354799999999</v>
      </c>
      <c r="K9" s="165">
        <f t="shared" si="1"/>
        <v>300</v>
      </c>
      <c r="L9" s="293"/>
    </row>
    <row r="10" spans="1:13">
      <c r="A10" s="13">
        <v>267</v>
      </c>
      <c r="B10" s="13">
        <v>18</v>
      </c>
      <c r="C10" s="13" t="s">
        <v>31</v>
      </c>
      <c r="D10" s="104">
        <v>62970.42</v>
      </c>
      <c r="E10" s="104">
        <v>31485.21</v>
      </c>
      <c r="F10" s="104">
        <f t="shared" si="0"/>
        <v>49967.028270000003</v>
      </c>
      <c r="G10" s="104">
        <v>18086.3</v>
      </c>
      <c r="H10" s="104">
        <v>50816.467750590004</v>
      </c>
      <c r="I10" s="235">
        <v>18086.3</v>
      </c>
      <c r="J10" s="84">
        <f>SALARIES!J144</f>
        <v>53865.455815625406</v>
      </c>
      <c r="K10" s="165">
        <f t="shared" si="1"/>
        <v>47227.815000000002</v>
      </c>
      <c r="L10" s="293"/>
    </row>
    <row r="11" spans="1:13">
      <c r="A11" s="13">
        <v>267</v>
      </c>
      <c r="B11" s="13">
        <v>102</v>
      </c>
      <c r="C11" s="13" t="s">
        <v>66</v>
      </c>
      <c r="D11" s="104">
        <v>3721.92</v>
      </c>
      <c r="E11" s="104">
        <v>2585.3000000000002</v>
      </c>
      <c r="F11" s="104">
        <f t="shared" si="0"/>
        <v>4102.8711000000003</v>
      </c>
      <c r="G11" s="104">
        <v>2322.62</v>
      </c>
      <c r="H11" s="104">
        <v>4172.6199087000005</v>
      </c>
      <c r="I11" s="235">
        <v>2322.62</v>
      </c>
      <c r="J11" s="84">
        <f>SALARIES!J145</f>
        <v>4422.9771032220006</v>
      </c>
      <c r="K11" s="165">
        <f t="shared" si="1"/>
        <v>3877.9500000000003</v>
      </c>
      <c r="L11" s="293"/>
    </row>
    <row r="12" spans="1:13">
      <c r="A12" s="13">
        <v>267</v>
      </c>
      <c r="B12" s="13">
        <v>104</v>
      </c>
      <c r="C12" s="13" t="s">
        <v>34</v>
      </c>
      <c r="D12" s="104">
        <v>135.6</v>
      </c>
      <c r="E12" s="104">
        <v>94.92</v>
      </c>
      <c r="F12" s="104">
        <f t="shared" si="0"/>
        <v>150.63803999999999</v>
      </c>
      <c r="G12" s="104">
        <v>72.5</v>
      </c>
      <c r="H12" s="104">
        <v>153.19888667999999</v>
      </c>
      <c r="I12" s="235">
        <v>72.5</v>
      </c>
      <c r="J12" s="84">
        <f>SALARIES!J146</f>
        <v>162.3908198808</v>
      </c>
      <c r="K12" s="165">
        <f t="shared" si="1"/>
        <v>142.38</v>
      </c>
      <c r="L12" s="293"/>
    </row>
    <row r="13" spans="1:13">
      <c r="D13" s="105">
        <f t="shared" ref="D13:K13" si="2">SUM(D5:D12)</f>
        <v>466127.67999999988</v>
      </c>
      <c r="E13" s="105">
        <f t="shared" si="2"/>
        <v>306500.63999999996</v>
      </c>
      <c r="F13" s="105">
        <f t="shared" si="2"/>
        <v>486416.51568000007</v>
      </c>
      <c r="G13" s="105">
        <f t="shared" si="2"/>
        <v>263295.44999999995</v>
      </c>
      <c r="H13" s="105">
        <f t="shared" si="2"/>
        <v>494685.59644656</v>
      </c>
      <c r="I13" s="236">
        <f t="shared" si="2"/>
        <v>278114.32999999996</v>
      </c>
      <c r="J13" s="74">
        <f t="shared" si="2"/>
        <v>524366.73223335354</v>
      </c>
      <c r="K13" s="74">
        <f t="shared" si="2"/>
        <v>459750.96000000008</v>
      </c>
      <c r="L13" s="295"/>
    </row>
    <row r="14" spans="1:13">
      <c r="A14" s="1" t="s">
        <v>44</v>
      </c>
      <c r="D14" s="105"/>
      <c r="E14" s="105"/>
      <c r="F14" s="105"/>
      <c r="G14" s="105"/>
      <c r="H14" s="105"/>
      <c r="I14" s="236"/>
      <c r="J14" s="74"/>
      <c r="K14" s="38"/>
      <c r="L14" s="293"/>
    </row>
    <row r="15" spans="1:13">
      <c r="A15" s="13">
        <v>267</v>
      </c>
      <c r="B15" s="13">
        <v>210</v>
      </c>
      <c r="C15" s="13" t="s">
        <v>44</v>
      </c>
      <c r="D15" s="104">
        <v>68411.539999999994</v>
      </c>
      <c r="E15" s="104">
        <v>0</v>
      </c>
      <c r="F15" s="104">
        <f>'NON CASH'!G11</f>
        <v>69779.770799999998</v>
      </c>
      <c r="G15" s="104">
        <v>0</v>
      </c>
      <c r="H15" s="104">
        <f>'NON CASH'!H11</f>
        <v>73268.759340000004</v>
      </c>
      <c r="I15" s="235"/>
      <c r="J15" s="84">
        <f>'NON CASH'!I11</f>
        <v>74734.1345268</v>
      </c>
      <c r="K15" s="165">
        <f>E15/8*12</f>
        <v>0</v>
      </c>
      <c r="L15" s="293"/>
    </row>
    <row r="16" spans="1:13">
      <c r="A16" s="42"/>
      <c r="B16" s="42"/>
      <c r="C16" s="42"/>
      <c r="D16" s="106"/>
      <c r="E16" s="106"/>
      <c r="F16" s="107">
        <f t="shared" ref="F16:K16" si="3">F15</f>
        <v>69779.770799999998</v>
      </c>
      <c r="G16" s="107">
        <f t="shared" si="3"/>
        <v>0</v>
      </c>
      <c r="H16" s="107">
        <f t="shared" si="3"/>
        <v>73268.759340000004</v>
      </c>
      <c r="I16" s="237">
        <f t="shared" si="3"/>
        <v>0</v>
      </c>
      <c r="J16" s="92">
        <f t="shared" si="3"/>
        <v>74734.1345268</v>
      </c>
      <c r="K16" s="92">
        <f t="shared" si="3"/>
        <v>0</v>
      </c>
      <c r="L16" s="294"/>
    </row>
    <row r="17" spans="1:17" s="1" customFormat="1">
      <c r="A17" s="1" t="s">
        <v>927</v>
      </c>
      <c r="D17" s="108"/>
      <c r="E17" s="108"/>
      <c r="F17" s="108"/>
      <c r="G17" s="108"/>
      <c r="H17" s="108"/>
      <c r="I17" s="238"/>
      <c r="J17" s="70"/>
      <c r="K17" s="70"/>
      <c r="L17" s="295"/>
    </row>
    <row r="18" spans="1:17">
      <c r="A18" s="13">
        <v>267</v>
      </c>
      <c r="B18" s="13">
        <v>284</v>
      </c>
      <c r="C18" s="13" t="s">
        <v>221</v>
      </c>
      <c r="D18" s="104">
        <v>60000</v>
      </c>
      <c r="E18" s="104">
        <v>49636.62</v>
      </c>
      <c r="F18" s="104">
        <v>60000</v>
      </c>
      <c r="G18" s="104">
        <v>40118.089999999997</v>
      </c>
      <c r="H18" s="104">
        <f>RME!H15</f>
        <v>60000</v>
      </c>
      <c r="I18" s="235">
        <v>68056.78</v>
      </c>
      <c r="J18" s="84">
        <v>0</v>
      </c>
      <c r="K18" s="165">
        <f>E18/8*12</f>
        <v>74454.930000000008</v>
      </c>
      <c r="L18" s="293">
        <f>I18/7*12</f>
        <v>116668.76571428571</v>
      </c>
    </row>
    <row r="19" spans="1:17">
      <c r="D19" s="105">
        <f t="shared" ref="D19:K19" si="4">D18</f>
        <v>60000</v>
      </c>
      <c r="E19" s="105">
        <f t="shared" si="4"/>
        <v>49636.62</v>
      </c>
      <c r="F19" s="105">
        <f t="shared" si="4"/>
        <v>60000</v>
      </c>
      <c r="G19" s="105">
        <f t="shared" si="4"/>
        <v>40118.089999999997</v>
      </c>
      <c r="H19" s="105">
        <f t="shared" si="4"/>
        <v>60000</v>
      </c>
      <c r="I19" s="236">
        <f t="shared" si="4"/>
        <v>68056.78</v>
      </c>
      <c r="J19" s="74">
        <f t="shared" si="4"/>
        <v>0</v>
      </c>
      <c r="K19" s="74">
        <f t="shared" si="4"/>
        <v>74454.930000000008</v>
      </c>
      <c r="L19" s="295"/>
    </row>
    <row r="20" spans="1:17">
      <c r="A20" s="42"/>
      <c r="B20" s="42"/>
      <c r="C20" s="42"/>
      <c r="D20" s="106"/>
      <c r="E20" s="106"/>
      <c r="F20" s="106"/>
      <c r="G20" s="106"/>
      <c r="H20" s="106"/>
      <c r="I20" s="241"/>
      <c r="J20" s="91"/>
      <c r="K20" s="38"/>
      <c r="L20" s="293"/>
    </row>
    <row r="21" spans="1:17" s="1" customFormat="1">
      <c r="A21" s="1" t="s">
        <v>924</v>
      </c>
      <c r="D21" s="108"/>
      <c r="E21" s="108"/>
      <c r="F21" s="108"/>
      <c r="G21" s="108"/>
      <c r="H21" s="108"/>
      <c r="I21" s="238"/>
      <c r="J21" s="70"/>
      <c r="K21" s="70"/>
      <c r="L21" s="295"/>
    </row>
    <row r="22" spans="1:17">
      <c r="A22" s="13">
        <v>267</v>
      </c>
      <c r="B22" s="13">
        <v>123</v>
      </c>
      <c r="C22" s="13" t="s">
        <v>187</v>
      </c>
      <c r="D22" s="104">
        <v>140544.04</v>
      </c>
      <c r="E22" s="104">
        <v>82208.66</v>
      </c>
      <c r="F22" s="104">
        <v>124000</v>
      </c>
      <c r="G22" s="104">
        <v>2599.86</v>
      </c>
      <c r="H22" s="104">
        <v>60000</v>
      </c>
      <c r="I22" s="235">
        <v>2599.86</v>
      </c>
      <c r="J22" s="84">
        <v>4456.9028571428571</v>
      </c>
      <c r="K22" s="165">
        <f>E22/8*12</f>
        <v>123312.99</v>
      </c>
      <c r="L22" s="293">
        <f>I22/7*12</f>
        <v>4456.9028571428571</v>
      </c>
    </row>
    <row r="23" spans="1:17" s="35" customFormat="1">
      <c r="A23" s="79">
        <v>267</v>
      </c>
      <c r="B23" s="79">
        <v>179</v>
      </c>
      <c r="C23" s="79" t="s">
        <v>73</v>
      </c>
      <c r="D23" s="104">
        <v>70000</v>
      </c>
      <c r="E23" s="104">
        <v>44586.1</v>
      </c>
      <c r="F23" s="104">
        <v>50000</v>
      </c>
      <c r="G23" s="104">
        <v>52655</v>
      </c>
      <c r="H23" s="104">
        <v>100000</v>
      </c>
      <c r="I23" s="235">
        <v>54255</v>
      </c>
      <c r="J23" s="84">
        <v>93008.57142857142</v>
      </c>
      <c r="K23" s="165">
        <f t="shared" ref="K23:K29" si="5">E23/8*12</f>
        <v>66879.149999999994</v>
      </c>
      <c r="L23" s="293">
        <f t="shared" ref="L23:L30" si="6">I23/7*12</f>
        <v>93008.57142857142</v>
      </c>
    </row>
    <row r="24" spans="1:17" s="35" customFormat="1">
      <c r="A24" s="79">
        <v>267</v>
      </c>
      <c r="B24" s="79">
        <v>183</v>
      </c>
      <c r="C24" s="79" t="s">
        <v>130</v>
      </c>
      <c r="D24" s="104"/>
      <c r="E24" s="104"/>
      <c r="F24" s="104">
        <v>0</v>
      </c>
      <c r="G24" s="104">
        <v>17018.03</v>
      </c>
      <c r="H24" s="104">
        <v>0</v>
      </c>
      <c r="I24" s="235">
        <v>17018.03</v>
      </c>
      <c r="J24" s="84">
        <v>29173.765714285699</v>
      </c>
      <c r="K24" s="165"/>
      <c r="L24" s="293">
        <f t="shared" si="6"/>
        <v>29173.765714285713</v>
      </c>
    </row>
    <row r="25" spans="1:17">
      <c r="A25" s="13">
        <v>267</v>
      </c>
      <c r="B25" s="13">
        <v>195</v>
      </c>
      <c r="C25" s="13" t="s">
        <v>38</v>
      </c>
      <c r="D25" s="104">
        <v>300000</v>
      </c>
      <c r="E25" s="104">
        <v>227027.36</v>
      </c>
      <c r="F25" s="104">
        <v>300000</v>
      </c>
      <c r="G25" s="104">
        <v>237459.85</v>
      </c>
      <c r="H25" s="104">
        <v>450000</v>
      </c>
      <c r="I25" s="235">
        <v>348020.65</v>
      </c>
      <c r="J25" s="84">
        <v>596606.82857142854</v>
      </c>
      <c r="K25" s="165">
        <f t="shared" si="5"/>
        <v>340541.04</v>
      </c>
      <c r="L25" s="293">
        <f t="shared" si="6"/>
        <v>596606.82857142854</v>
      </c>
    </row>
    <row r="26" spans="1:17" s="35" customFormat="1">
      <c r="A26" s="79">
        <v>267</v>
      </c>
      <c r="B26" s="79">
        <v>203</v>
      </c>
      <c r="C26" s="79" t="s">
        <v>320</v>
      </c>
      <c r="D26" s="104">
        <v>450000</v>
      </c>
      <c r="E26" s="104">
        <v>403182.46</v>
      </c>
      <c r="F26" s="104">
        <v>450000</v>
      </c>
      <c r="G26" s="104">
        <v>537723.68000000005</v>
      </c>
      <c r="H26" s="104">
        <v>800000</v>
      </c>
      <c r="I26" s="235">
        <v>566723.68000000005</v>
      </c>
      <c r="J26" s="84">
        <v>950000</v>
      </c>
      <c r="K26" s="165">
        <f t="shared" si="5"/>
        <v>604773.69000000006</v>
      </c>
      <c r="L26" s="293">
        <f t="shared" si="6"/>
        <v>971526.30857142853</v>
      </c>
    </row>
    <row r="27" spans="1:17">
      <c r="A27" s="13">
        <v>267</v>
      </c>
      <c r="B27" s="13">
        <v>204</v>
      </c>
      <c r="C27" s="13" t="s">
        <v>42</v>
      </c>
      <c r="D27" s="104">
        <v>11000</v>
      </c>
      <c r="E27" s="104">
        <v>12671.57</v>
      </c>
      <c r="F27" s="104">
        <v>20000</v>
      </c>
      <c r="G27" s="104">
        <v>19323.91</v>
      </c>
      <c r="H27" s="104">
        <v>40000</v>
      </c>
      <c r="I27" s="235">
        <v>49673.91</v>
      </c>
      <c r="J27" s="84">
        <v>85155.274285714288</v>
      </c>
      <c r="K27" s="165">
        <f t="shared" si="5"/>
        <v>19007.355</v>
      </c>
      <c r="L27" s="293">
        <f t="shared" si="6"/>
        <v>85155.274285714288</v>
      </c>
    </row>
    <row r="28" spans="1:17">
      <c r="A28" s="20">
        <v>267</v>
      </c>
      <c r="B28" s="20">
        <v>206</v>
      </c>
      <c r="C28" s="20" t="s">
        <v>322</v>
      </c>
      <c r="D28" s="144">
        <v>45000</v>
      </c>
      <c r="E28" s="144">
        <v>45890</v>
      </c>
      <c r="F28" s="144">
        <v>120000</v>
      </c>
      <c r="G28" s="104">
        <v>94742</v>
      </c>
      <c r="H28" s="104">
        <v>150000</v>
      </c>
      <c r="I28" s="235">
        <v>94742</v>
      </c>
      <c r="J28" s="84">
        <v>162414.85714285716</v>
      </c>
      <c r="K28" s="165">
        <f t="shared" si="5"/>
        <v>68835</v>
      </c>
      <c r="L28" s="293">
        <f t="shared" si="6"/>
        <v>162414.85714285716</v>
      </c>
    </row>
    <row r="29" spans="1:17">
      <c r="A29" s="13">
        <v>267</v>
      </c>
      <c r="B29" s="13">
        <v>211</v>
      </c>
      <c r="C29" s="13" t="s">
        <v>163</v>
      </c>
      <c r="D29" s="104">
        <v>400000</v>
      </c>
      <c r="E29" s="104">
        <v>314453.53000000003</v>
      </c>
      <c r="F29" s="104">
        <v>472000</v>
      </c>
      <c r="G29" s="104">
        <v>315823.44</v>
      </c>
      <c r="H29" s="104">
        <v>500000</v>
      </c>
      <c r="I29" s="235">
        <v>361949.24</v>
      </c>
      <c r="J29" s="84">
        <v>620484.41142857145</v>
      </c>
      <c r="K29" s="165">
        <f t="shared" si="5"/>
        <v>471680.29500000004</v>
      </c>
      <c r="L29" s="293">
        <f t="shared" si="6"/>
        <v>620484.41142857145</v>
      </c>
    </row>
    <row r="30" spans="1:17" s="35" customFormat="1">
      <c r="A30" s="79">
        <v>267</v>
      </c>
      <c r="B30" s="79">
        <v>243</v>
      </c>
      <c r="C30" s="79" t="s">
        <v>1097</v>
      </c>
      <c r="D30" s="104"/>
      <c r="E30" s="104"/>
      <c r="F30" s="104">
        <v>0</v>
      </c>
      <c r="G30" s="104">
        <v>100000</v>
      </c>
      <c r="H30" s="104">
        <v>200000</v>
      </c>
      <c r="I30" s="235">
        <v>100000</v>
      </c>
      <c r="J30" s="84">
        <v>171428.57142857142</v>
      </c>
      <c r="K30" s="38"/>
      <c r="L30" s="293">
        <f t="shared" si="6"/>
        <v>171428.57142857142</v>
      </c>
    </row>
    <row r="31" spans="1:17" ht="15.75" thickBot="1">
      <c r="D31" s="105">
        <f>SUM(D22:D29)</f>
        <v>1416544.04</v>
      </c>
      <c r="E31" s="105">
        <f>SUM(E22:E29)</f>
        <v>1130019.6800000002</v>
      </c>
      <c r="F31" s="105">
        <f t="shared" ref="F31:K31" si="7">SUM(F22:F30)</f>
        <v>1536000</v>
      </c>
      <c r="G31" s="105">
        <f t="shared" si="7"/>
        <v>1377345.77</v>
      </c>
      <c r="H31" s="105">
        <f t="shared" si="7"/>
        <v>2300000</v>
      </c>
      <c r="I31" s="236">
        <f t="shared" si="7"/>
        <v>1594982.37</v>
      </c>
      <c r="J31" s="74">
        <f>SUM(J22:J30)</f>
        <v>2712729.1828571432</v>
      </c>
      <c r="K31" s="74">
        <f t="shared" si="7"/>
        <v>1695029.52</v>
      </c>
      <c r="L31" s="295"/>
    </row>
    <row r="32" spans="1:17" ht="15.75" thickBot="1">
      <c r="G32" s="102"/>
      <c r="H32" s="102"/>
      <c r="I32" s="239"/>
      <c r="J32" s="38"/>
      <c r="K32" s="38"/>
      <c r="L32" s="293"/>
      <c r="M32" s="27"/>
      <c r="N32" s="61" t="s">
        <v>916</v>
      </c>
      <c r="O32" s="46" t="s">
        <v>1105</v>
      </c>
      <c r="P32" s="59" t="s">
        <v>1103</v>
      </c>
      <c r="Q32" s="59" t="s">
        <v>1117</v>
      </c>
    </row>
    <row r="33" spans="1:17" s="1" customFormat="1">
      <c r="A33" s="1" t="s">
        <v>923</v>
      </c>
      <c r="D33" s="108"/>
      <c r="E33" s="108"/>
      <c r="F33" s="108"/>
      <c r="G33" s="108"/>
      <c r="H33" s="108"/>
      <c r="I33" s="238"/>
      <c r="J33" s="70"/>
      <c r="K33" s="71"/>
      <c r="L33" s="296"/>
      <c r="M33" s="44" t="s">
        <v>962</v>
      </c>
      <c r="N33" s="44">
        <f>D13+D31+D19</f>
        <v>1942671.72</v>
      </c>
      <c r="O33" s="27">
        <f>F13+F16+F19+F31</f>
        <v>2152196.2864800002</v>
      </c>
      <c r="P33" s="44">
        <f>H13+H16+H19+H31</f>
        <v>2927954.3557865601</v>
      </c>
      <c r="Q33" s="44">
        <f>J13+J16+J19+J31</f>
        <v>3311830.049617297</v>
      </c>
    </row>
    <row r="34" spans="1:17">
      <c r="A34" s="13">
        <v>267</v>
      </c>
      <c r="B34" s="13">
        <v>8875</v>
      </c>
      <c r="C34" s="13" t="s">
        <v>121</v>
      </c>
      <c r="D34" s="104">
        <v>-1364000</v>
      </c>
      <c r="E34" s="104">
        <v>0</v>
      </c>
      <c r="F34" s="104">
        <f>GRANTS!G17</f>
        <v>-2217237.29</v>
      </c>
      <c r="G34" s="104">
        <v>0</v>
      </c>
      <c r="H34" s="104">
        <f>GRANTS!H17</f>
        <v>-2217237.29</v>
      </c>
      <c r="I34" s="235"/>
      <c r="J34" s="84">
        <f>GRANTS!I17</f>
        <v>-2217237.29</v>
      </c>
      <c r="K34" s="38"/>
      <c r="L34" s="293"/>
      <c r="M34" s="44" t="s">
        <v>963</v>
      </c>
      <c r="N34" s="44">
        <f>D35</f>
        <v>-1364000</v>
      </c>
      <c r="O34" s="27">
        <f>F35</f>
        <v>-2217237.29</v>
      </c>
      <c r="P34" s="27">
        <f>H35</f>
        <v>-2217237.29</v>
      </c>
      <c r="Q34" s="27">
        <f>J35</f>
        <v>-2217237.29</v>
      </c>
    </row>
    <row r="35" spans="1:17" ht="15.75" thickBot="1">
      <c r="D35" s="105">
        <f t="shared" ref="D35:K35" si="8">D34</f>
        <v>-1364000</v>
      </c>
      <c r="E35" s="105">
        <f t="shared" si="8"/>
        <v>0</v>
      </c>
      <c r="F35" s="105">
        <f t="shared" si="8"/>
        <v>-2217237.29</v>
      </c>
      <c r="G35" s="105">
        <f t="shared" si="8"/>
        <v>0</v>
      </c>
      <c r="H35" s="105">
        <f t="shared" si="8"/>
        <v>-2217237.29</v>
      </c>
      <c r="I35" s="236">
        <f t="shared" si="8"/>
        <v>0</v>
      </c>
      <c r="J35" s="74">
        <f t="shared" si="8"/>
        <v>-2217237.29</v>
      </c>
      <c r="K35" s="74">
        <f t="shared" si="8"/>
        <v>0</v>
      </c>
      <c r="L35" s="295"/>
      <c r="M35" s="27"/>
      <c r="N35" s="50">
        <f>N33+N34</f>
        <v>578671.72</v>
      </c>
      <c r="O35" s="50">
        <f>O33+O34</f>
        <v>-65041.003519999795</v>
      </c>
      <c r="P35" s="50">
        <f>P33+P34</f>
        <v>710717.06578656007</v>
      </c>
      <c r="Q35" s="50">
        <f>Q33+Q34</f>
        <v>1094592.759617297</v>
      </c>
    </row>
    <row r="36" spans="1:17" ht="15.75" thickTop="1">
      <c r="G36" s="102"/>
      <c r="H36" s="102"/>
      <c r="I36" s="239"/>
      <c r="J36" s="38"/>
    </row>
    <row r="37" spans="1:17">
      <c r="G37" s="102"/>
      <c r="H37" s="102"/>
      <c r="I37" s="239"/>
      <c r="J37" s="38"/>
    </row>
    <row r="38" spans="1:17">
      <c r="G38" s="102"/>
      <c r="H38" s="102"/>
      <c r="I38" s="239"/>
      <c r="J38" s="38"/>
    </row>
    <row r="39" spans="1:17">
      <c r="B39" s="35"/>
      <c r="C39" s="35"/>
      <c r="D39" s="113"/>
      <c r="G39" s="102"/>
      <c r="H39" s="102"/>
      <c r="I39" s="239"/>
      <c r="J39" s="38"/>
      <c r="K39"/>
      <c r="L39" s="298"/>
    </row>
    <row r="40" spans="1:17">
      <c r="B40" s="35"/>
      <c r="C40" s="35"/>
      <c r="G40" s="102"/>
      <c r="H40" s="102"/>
      <c r="I40" s="239"/>
      <c r="J40" s="38"/>
    </row>
    <row r="41" spans="1:17">
      <c r="B41" s="35"/>
      <c r="C41" s="78" t="s">
        <v>1111</v>
      </c>
      <c r="D41" s="112"/>
      <c r="F41" s="194"/>
      <c r="G41" s="102"/>
      <c r="H41" s="197"/>
      <c r="I41" s="243"/>
      <c r="J41" s="35"/>
      <c r="K41"/>
      <c r="L41" s="298"/>
    </row>
    <row r="42" spans="1:17" ht="15.75" thickBot="1">
      <c r="E42" s="102">
        <f>O35</f>
        <v>-65041.003519999795</v>
      </c>
      <c r="G42" s="102"/>
      <c r="H42" s="102"/>
      <c r="I42" s="239"/>
      <c r="J42" s="38"/>
    </row>
    <row r="43" spans="1:17" ht="15.75" thickBot="1">
      <c r="C43" s="61" t="s">
        <v>916</v>
      </c>
      <c r="D43" s="195" t="s">
        <v>1102</v>
      </c>
      <c r="E43" s="225"/>
      <c r="F43" s="226" t="s">
        <v>1103</v>
      </c>
      <c r="G43" s="102"/>
      <c r="H43" s="226" t="s">
        <v>1117</v>
      </c>
      <c r="I43" s="239"/>
      <c r="J43" s="38"/>
    </row>
    <row r="44" spans="1:17">
      <c r="A44" s="35">
        <v>267</v>
      </c>
      <c r="B44" s="35" t="s">
        <v>988</v>
      </c>
      <c r="C44" s="38">
        <f>N35</f>
        <v>578671.72</v>
      </c>
      <c r="D44" s="102">
        <f>O35</f>
        <v>-65041.003519999795</v>
      </c>
      <c r="F44" s="102">
        <f>P35</f>
        <v>710717.06578656007</v>
      </c>
      <c r="G44" s="102"/>
      <c r="H44" s="102">
        <f>Q35</f>
        <v>1094592.759617297</v>
      </c>
      <c r="I44" s="239"/>
      <c r="J44" s="38"/>
    </row>
    <row r="45" spans="1:17">
      <c r="G45" s="102"/>
      <c r="H45" s="102"/>
      <c r="I45" s="239"/>
      <c r="J45" s="38"/>
    </row>
    <row r="46" spans="1:17">
      <c r="G46" s="102"/>
      <c r="H46" s="102"/>
      <c r="I46" s="239"/>
      <c r="J46" s="38"/>
    </row>
    <row r="47" spans="1:17">
      <c r="G47" s="102"/>
      <c r="H47" s="102"/>
      <c r="I47" s="239"/>
      <c r="J47" s="38"/>
    </row>
    <row r="48" spans="1:17">
      <c r="G48" s="102"/>
      <c r="H48" s="102"/>
      <c r="I48" s="239"/>
      <c r="J48" s="38"/>
    </row>
    <row r="49" spans="7:10">
      <c r="G49" s="102"/>
      <c r="H49" s="102"/>
      <c r="I49" s="239"/>
      <c r="J49" s="38"/>
    </row>
    <row r="50" spans="7:10">
      <c r="G50" s="102"/>
      <c r="H50" s="102"/>
      <c r="I50" s="239"/>
      <c r="J50" s="38"/>
    </row>
    <row r="51" spans="7:10">
      <c r="G51" s="102"/>
      <c r="H51" s="102"/>
      <c r="I51" s="239"/>
      <c r="J51" s="38"/>
    </row>
    <row r="52" spans="7:10" ht="409.6">
      <c r="G52" s="102"/>
      <c r="H52" s="102"/>
      <c r="I52" s="239"/>
      <c r="J52" s="38"/>
    </row>
    <row r="53" spans="7:10" ht="409.6">
      <c r="G53" s="102"/>
      <c r="H53" s="102"/>
      <c r="I53" s="239"/>
      <c r="J53" s="38"/>
    </row>
    <row r="54" spans="7:10" ht="409.6">
      <c r="G54" s="102"/>
      <c r="H54" s="102"/>
      <c r="I54" s="239"/>
      <c r="J54" s="38"/>
    </row>
    <row r="55" spans="7:10" ht="409.6">
      <c r="G55" s="102"/>
      <c r="H55" s="102"/>
      <c r="I55" s="239"/>
      <c r="J55" s="38"/>
    </row>
    <row r="56" spans="7:10" ht="409.6">
      <c r="G56" s="102"/>
      <c r="H56" s="102"/>
      <c r="I56" s="239"/>
      <c r="J56" s="38"/>
    </row>
    <row r="57" spans="7:10" ht="409.6">
      <c r="G57" s="102"/>
      <c r="H57" s="102"/>
      <c r="I57" s="239"/>
      <c r="J57" s="38"/>
    </row>
    <row r="58" spans="7:10" ht="409.6">
      <c r="G58" s="102"/>
      <c r="H58" s="102"/>
      <c r="I58" s="239"/>
      <c r="J58" s="38"/>
    </row>
    <row r="59" spans="7:10" ht="409.6">
      <c r="G59" s="102"/>
      <c r="H59" s="102"/>
      <c r="I59" s="239"/>
      <c r="J59" s="38"/>
    </row>
    <row r="60" spans="7:10" ht="409.6">
      <c r="G60" s="102"/>
      <c r="H60" s="102"/>
      <c r="I60" s="239"/>
      <c r="J60" s="38"/>
    </row>
    <row r="61" spans="7:10" ht="409.6">
      <c r="G61" s="102"/>
      <c r="H61" s="102"/>
      <c r="I61" s="239"/>
      <c r="J61" s="38"/>
    </row>
    <row r="62" spans="7:10" ht="409.6">
      <c r="G62" s="102"/>
      <c r="H62" s="102"/>
      <c r="I62" s="239"/>
      <c r="J62" s="38"/>
    </row>
    <row r="63" spans="7:10" ht="409.6">
      <c r="G63" s="102"/>
      <c r="H63" s="102"/>
      <c r="I63" s="239"/>
      <c r="J63" s="38"/>
    </row>
    <row r="64" spans="7:10" ht="409.6">
      <c r="G64" s="102"/>
      <c r="H64" s="102"/>
      <c r="I64" s="239"/>
      <c r="J64" s="38"/>
    </row>
    <row r="65" spans="7:10" ht="409.6">
      <c r="G65" s="102"/>
      <c r="H65" s="102"/>
      <c r="I65" s="239"/>
      <c r="J65" s="38"/>
    </row>
    <row r="66" spans="7:10" ht="409.6">
      <c r="G66" s="102"/>
      <c r="H66" s="102"/>
      <c r="I66" s="239"/>
      <c r="J66" s="38"/>
    </row>
    <row r="67" spans="7:10" ht="409.6">
      <c r="G67" s="102"/>
      <c r="H67" s="102"/>
      <c r="I67" s="239"/>
      <c r="J67" s="38"/>
    </row>
    <row r="68" spans="7:10" ht="409.6">
      <c r="G68" s="102"/>
      <c r="H68" s="102"/>
      <c r="I68" s="239"/>
      <c r="J68" s="38"/>
    </row>
    <row r="69" spans="7:10" ht="409.6">
      <c r="G69" s="102"/>
      <c r="H69" s="102"/>
      <c r="I69" s="239"/>
      <c r="J69" s="38"/>
    </row>
    <row r="70" spans="7:10" ht="409.6">
      <c r="G70" s="102"/>
      <c r="H70" s="102"/>
      <c r="I70" s="239"/>
      <c r="J70" s="38"/>
    </row>
    <row r="71" spans="7:10" ht="409.6">
      <c r="G71" s="102"/>
      <c r="H71" s="102"/>
      <c r="I71" s="239"/>
      <c r="J71" s="38"/>
    </row>
    <row r="72" spans="7:10" ht="409.6">
      <c r="G72" s="102"/>
      <c r="H72" s="102"/>
      <c r="I72" s="239"/>
      <c r="J72" s="38"/>
    </row>
    <row r="73" spans="7:10" ht="409.6">
      <c r="G73" s="102"/>
      <c r="H73" s="102"/>
      <c r="I73" s="239"/>
      <c r="J73" s="38"/>
    </row>
    <row r="74" spans="7:10" ht="409.6">
      <c r="G74" s="102"/>
      <c r="H74" s="102"/>
      <c r="I74" s="239"/>
      <c r="J74" s="38"/>
    </row>
    <row r="75" spans="7:10" ht="409.6">
      <c r="G75" s="102"/>
      <c r="H75" s="102"/>
      <c r="I75" s="239"/>
      <c r="J75" s="38"/>
    </row>
    <row r="76" spans="7:10" ht="409.6">
      <c r="G76" s="102"/>
      <c r="H76" s="102"/>
      <c r="I76" s="239"/>
      <c r="J76" s="38"/>
    </row>
    <row r="77" spans="7:10" ht="409.6">
      <c r="G77" s="102"/>
      <c r="H77" s="102"/>
      <c r="I77" s="239"/>
      <c r="J77" s="38"/>
    </row>
    <row r="78" spans="7:10" ht="409.6">
      <c r="G78" s="102"/>
      <c r="H78" s="102"/>
      <c r="I78" s="239"/>
      <c r="J78" s="38"/>
    </row>
    <row r="79" spans="7:10" ht="409.6">
      <c r="G79" s="102"/>
      <c r="H79" s="102"/>
      <c r="I79" s="239"/>
      <c r="J79" s="38"/>
    </row>
    <row r="80" spans="7:10" ht="409.6">
      <c r="G80" s="102"/>
      <c r="H80" s="102"/>
      <c r="I80" s="239"/>
      <c r="J80" s="38"/>
    </row>
    <row r="81" spans="7:10" ht="409.6">
      <c r="G81" s="102"/>
      <c r="H81" s="102"/>
      <c r="I81" s="239"/>
      <c r="J81" s="38"/>
    </row>
    <row r="82" spans="7:10" ht="409.6">
      <c r="G82" s="102"/>
      <c r="H82" s="102"/>
      <c r="I82" s="239"/>
      <c r="J82" s="38"/>
    </row>
    <row r="83" spans="7:10" ht="409.6">
      <c r="G83" s="102"/>
      <c r="H83" s="102"/>
      <c r="I83" s="239"/>
      <c r="J83" s="38"/>
    </row>
    <row r="84" spans="7:10" ht="409.6">
      <c r="G84" s="102"/>
      <c r="H84" s="102"/>
      <c r="I84" s="239"/>
      <c r="J84" s="38"/>
    </row>
    <row r="85" spans="7:10" ht="409.6">
      <c r="G85" s="102"/>
      <c r="H85" s="102"/>
      <c r="I85" s="239"/>
      <c r="J85" s="38"/>
    </row>
    <row r="86" spans="7:10" ht="409.6">
      <c r="G86" s="102"/>
      <c r="H86" s="102"/>
      <c r="I86" s="239"/>
      <c r="J86" s="38"/>
    </row>
    <row r="87" spans="7:10" ht="409.6">
      <c r="G87" s="102"/>
      <c r="H87" s="102"/>
      <c r="I87" s="239"/>
      <c r="J87" s="38"/>
    </row>
    <row r="88" spans="7:10" ht="409.6">
      <c r="G88" s="102"/>
      <c r="H88" s="102"/>
      <c r="I88" s="239"/>
      <c r="J88" s="38"/>
    </row>
    <row r="89" spans="7:10" ht="409.6">
      <c r="G89" s="102"/>
      <c r="H89" s="102"/>
      <c r="I89" s="239"/>
      <c r="J89" s="38"/>
    </row>
    <row r="90" spans="7:10" ht="409.6">
      <c r="G90" s="102"/>
      <c r="H90" s="102"/>
      <c r="I90" s="239"/>
      <c r="J90" s="38"/>
    </row>
    <row r="91" spans="7:10" ht="409.6">
      <c r="G91" s="102"/>
      <c r="H91" s="102"/>
      <c r="I91" s="239"/>
      <c r="J91" s="38"/>
    </row>
    <row r="92" spans="7:10" ht="409.6">
      <c r="G92" s="102"/>
      <c r="H92" s="102"/>
      <c r="I92" s="239"/>
      <c r="J92" s="38"/>
    </row>
    <row r="93" spans="7:10" ht="409.6">
      <c r="G93" s="102"/>
      <c r="H93" s="102"/>
      <c r="I93" s="239"/>
      <c r="J93" s="38"/>
    </row>
    <row r="94" spans="7:10" ht="409.6">
      <c r="G94" s="102"/>
      <c r="H94" s="102"/>
      <c r="I94" s="239"/>
      <c r="J94" s="38"/>
    </row>
    <row r="95" spans="7:10" ht="409.6">
      <c r="G95" s="102"/>
      <c r="H95" s="102"/>
      <c r="I95" s="239"/>
      <c r="J95" s="38"/>
    </row>
    <row r="96" spans="7:10" ht="409.6">
      <c r="G96" s="102"/>
      <c r="H96" s="102"/>
      <c r="I96" s="239"/>
      <c r="J96" s="38"/>
    </row>
    <row r="97" spans="7:10" ht="409.6">
      <c r="G97" s="102"/>
      <c r="H97" s="102"/>
      <c r="I97" s="239"/>
      <c r="J97" s="38"/>
    </row>
    <row r="98" spans="7:10" ht="409.6">
      <c r="G98" s="102"/>
      <c r="H98" s="102"/>
      <c r="I98" s="239"/>
      <c r="J98" s="38"/>
    </row>
    <row r="99" spans="7:10" ht="409.6">
      <c r="G99" s="102"/>
      <c r="H99" s="102"/>
      <c r="I99" s="239"/>
      <c r="J99" s="38"/>
    </row>
    <row r="100" spans="7:10" ht="409.6">
      <c r="G100" s="102"/>
      <c r="H100" s="102"/>
      <c r="I100" s="239"/>
      <c r="J100" s="38"/>
    </row>
    <row r="101" spans="7:10" ht="409.6">
      <c r="G101" s="102"/>
      <c r="H101" s="102"/>
      <c r="I101" s="239"/>
      <c r="J101" s="38"/>
    </row>
    <row r="102" spans="7:10" ht="409.6">
      <c r="G102" s="102"/>
      <c r="H102" s="102"/>
      <c r="I102" s="239"/>
      <c r="J102" s="38"/>
    </row>
    <row r="103" spans="7:10" ht="409.6">
      <c r="G103" s="102"/>
      <c r="H103" s="102"/>
      <c r="I103" s="239"/>
      <c r="J103" s="38"/>
    </row>
    <row r="104" spans="7:10" ht="409.6">
      <c r="G104" s="102"/>
      <c r="H104" s="102"/>
      <c r="I104" s="239"/>
      <c r="J104" s="38"/>
    </row>
    <row r="105" spans="7:10" ht="409.6">
      <c r="G105" s="102"/>
      <c r="H105" s="102"/>
      <c r="I105" s="239"/>
      <c r="J105" s="38"/>
    </row>
    <row r="106" spans="7:10" ht="409.6">
      <c r="G106" s="102"/>
      <c r="H106" s="102"/>
      <c r="I106" s="239"/>
      <c r="J106" s="38"/>
    </row>
    <row r="107" spans="7:10" ht="409.6">
      <c r="G107" s="102"/>
      <c r="H107" s="102"/>
      <c r="I107" s="239"/>
      <c r="J107" s="38"/>
    </row>
    <row r="108" spans="7:10" ht="409.6">
      <c r="G108" s="102"/>
      <c r="H108" s="102"/>
      <c r="I108" s="239"/>
      <c r="J108" s="38"/>
    </row>
    <row r="109" spans="7:10" ht="409.6">
      <c r="G109" s="102"/>
      <c r="H109" s="102"/>
      <c r="I109" s="239"/>
      <c r="J109" s="38"/>
    </row>
    <row r="110" spans="7:10" ht="409.6">
      <c r="G110" s="102"/>
      <c r="H110" s="102"/>
      <c r="I110" s="239"/>
      <c r="J110" s="38"/>
    </row>
    <row r="111" spans="7:10" ht="409.6">
      <c r="G111" s="102"/>
      <c r="H111" s="102"/>
      <c r="I111" s="239"/>
      <c r="J111" s="38"/>
    </row>
    <row r="112" spans="7:10" ht="409.6">
      <c r="G112" s="102"/>
      <c r="H112" s="102"/>
      <c r="I112" s="239"/>
      <c r="J112" s="38"/>
    </row>
    <row r="113" spans="7:10" ht="409.6">
      <c r="G113" s="102"/>
      <c r="H113" s="102"/>
      <c r="I113" s="239"/>
      <c r="J113" s="38"/>
    </row>
    <row r="114" spans="7:10" ht="409.6">
      <c r="G114" s="102"/>
      <c r="H114" s="102"/>
      <c r="I114" s="239"/>
      <c r="J114" s="38"/>
    </row>
    <row r="115" spans="7:10" ht="409.6">
      <c r="G115" s="102"/>
      <c r="H115" s="102"/>
      <c r="I115" s="239"/>
      <c r="J115" s="38"/>
    </row>
    <row r="116" spans="7:10" ht="409.6">
      <c r="G116" s="102"/>
      <c r="H116" s="102"/>
      <c r="I116" s="239"/>
      <c r="J116" s="38"/>
    </row>
    <row r="117" spans="7:10" ht="409.6">
      <c r="G117" s="102"/>
      <c r="H117" s="102"/>
      <c r="I117" s="239"/>
      <c r="J117" s="38"/>
    </row>
    <row r="118" spans="7:10" ht="409.6">
      <c r="G118" s="102"/>
      <c r="H118" s="102"/>
      <c r="I118" s="239"/>
      <c r="J118" s="38"/>
    </row>
    <row r="119" spans="7:10" ht="409.6">
      <c r="G119" s="102"/>
      <c r="H119" s="102"/>
      <c r="I119" s="239"/>
      <c r="J119" s="38"/>
    </row>
    <row r="120" spans="7:10" ht="409.6">
      <c r="G120" s="102"/>
      <c r="H120" s="102"/>
      <c r="I120" s="239"/>
      <c r="J120" s="38"/>
    </row>
    <row r="121" spans="7:10" ht="409.6">
      <c r="G121" s="102"/>
      <c r="H121" s="102"/>
      <c r="I121" s="239"/>
      <c r="J121" s="38"/>
    </row>
    <row r="122" spans="7:10" ht="409.6">
      <c r="G122" s="102"/>
      <c r="H122" s="102"/>
      <c r="I122" s="239"/>
      <c r="J122" s="38"/>
    </row>
    <row r="123" spans="7:10" ht="409.6">
      <c r="G123" s="102"/>
      <c r="H123" s="102"/>
      <c r="I123" s="239"/>
      <c r="J123" s="38"/>
    </row>
    <row r="124" spans="7:10" ht="409.6">
      <c r="G124" s="102"/>
      <c r="H124" s="102"/>
      <c r="I124" s="239"/>
      <c r="J124" s="38"/>
    </row>
    <row r="125" spans="7:10" ht="409.6">
      <c r="G125" s="102"/>
      <c r="H125" s="102"/>
      <c r="I125" s="239"/>
      <c r="J125" s="38"/>
    </row>
    <row r="126" spans="7:10" ht="409.6">
      <c r="G126" s="102"/>
      <c r="H126" s="102"/>
      <c r="I126" s="239"/>
      <c r="J126" s="38"/>
    </row>
    <row r="127" spans="7:10" ht="409.6">
      <c r="G127" s="102"/>
      <c r="H127" s="102"/>
      <c r="I127" s="239"/>
      <c r="J127" s="38"/>
    </row>
    <row r="128" spans="7:10" ht="409.6">
      <c r="G128" s="102"/>
      <c r="H128" s="102"/>
      <c r="I128" s="239"/>
      <c r="J128" s="38"/>
    </row>
    <row r="129" spans="7:10" ht="409.6">
      <c r="G129" s="102"/>
      <c r="H129" s="102"/>
      <c r="I129" s="239"/>
      <c r="J129" s="38"/>
    </row>
    <row r="130" spans="7:10" ht="409.6">
      <c r="G130" s="102"/>
      <c r="H130" s="102"/>
      <c r="I130" s="239"/>
      <c r="J130" s="38"/>
    </row>
    <row r="131" spans="7:10" ht="409.6">
      <c r="G131" s="102"/>
      <c r="H131" s="102"/>
      <c r="I131" s="239"/>
      <c r="J131" s="38"/>
    </row>
    <row r="132" spans="7:10" ht="409.6">
      <c r="G132" s="102"/>
      <c r="H132" s="102"/>
      <c r="I132" s="239"/>
      <c r="J132" s="38"/>
    </row>
    <row r="133" spans="7:10" ht="409.6">
      <c r="G133" s="102"/>
      <c r="H133" s="102"/>
      <c r="I133" s="239"/>
      <c r="J133" s="38"/>
    </row>
    <row r="134" spans="7:10" ht="409.6">
      <c r="G134" s="102"/>
      <c r="H134" s="102"/>
      <c r="I134" s="239"/>
      <c r="J134" s="38"/>
    </row>
    <row r="135" spans="7:10" ht="409.6">
      <c r="G135" s="102"/>
      <c r="H135" s="102"/>
      <c r="I135" s="239"/>
      <c r="J135" s="38"/>
    </row>
    <row r="136" spans="7:10" ht="409.6">
      <c r="G136" s="102"/>
      <c r="H136" s="102"/>
      <c r="I136" s="239"/>
      <c r="J136" s="38"/>
    </row>
    <row r="137" spans="7:10" ht="409.6">
      <c r="G137" s="102"/>
      <c r="H137" s="102"/>
      <c r="I137" s="239"/>
      <c r="J137" s="38"/>
    </row>
    <row r="138" spans="7:10" ht="409.6">
      <c r="G138" s="102"/>
      <c r="H138" s="102"/>
      <c r="I138" s="239"/>
      <c r="J138" s="38"/>
    </row>
    <row r="139" spans="7:10" ht="409.6">
      <c r="G139" s="102"/>
      <c r="H139" s="102"/>
      <c r="I139" s="239"/>
      <c r="J139" s="38"/>
    </row>
    <row r="140" spans="7:10" ht="409.6">
      <c r="G140" s="102"/>
      <c r="H140" s="102"/>
      <c r="I140" s="239"/>
      <c r="J140" s="38"/>
    </row>
    <row r="141" spans="7:10" ht="409.6">
      <c r="G141" s="102"/>
      <c r="H141" s="102"/>
      <c r="I141" s="239"/>
      <c r="J141" s="38"/>
    </row>
    <row r="142" spans="7:10" ht="409.6">
      <c r="G142" s="102"/>
      <c r="H142" s="102"/>
      <c r="I142" s="239"/>
      <c r="J142" s="38"/>
    </row>
    <row r="143" spans="7:10" ht="409.6">
      <c r="G143" s="102"/>
      <c r="H143" s="102"/>
      <c r="I143" s="239"/>
      <c r="J143" s="38"/>
    </row>
    <row r="144" spans="7:10" ht="409.6">
      <c r="G144" s="102"/>
      <c r="H144" s="102"/>
      <c r="I144" s="239"/>
      <c r="J144" s="38"/>
    </row>
    <row r="145" spans="7:10" ht="409.6">
      <c r="G145" s="102"/>
      <c r="H145" s="102"/>
      <c r="I145" s="239"/>
      <c r="J145" s="38"/>
    </row>
    <row r="146" spans="7:10" ht="409.6">
      <c r="G146" s="102"/>
      <c r="H146" s="102"/>
      <c r="I146" s="239"/>
      <c r="J146" s="38"/>
    </row>
    <row r="147" spans="7:10" ht="409.6">
      <c r="G147" s="102"/>
      <c r="H147" s="102"/>
      <c r="I147" s="239"/>
      <c r="J147" s="38"/>
    </row>
    <row r="148" spans="7:10" ht="409.6">
      <c r="G148" s="102"/>
      <c r="H148" s="102"/>
      <c r="I148" s="239"/>
      <c r="J148" s="38"/>
    </row>
    <row r="149" spans="7:10" ht="409.6">
      <c r="G149" s="102"/>
      <c r="H149" s="102"/>
      <c r="I149" s="239"/>
      <c r="J149" s="38"/>
    </row>
    <row r="150" spans="7:10" ht="409.6">
      <c r="G150" s="102"/>
      <c r="H150" s="102"/>
      <c r="I150" s="239"/>
      <c r="J150" s="38"/>
    </row>
    <row r="151" spans="7:10" ht="409.6">
      <c r="G151" s="102"/>
      <c r="H151" s="102"/>
      <c r="I151" s="239"/>
      <c r="J151" s="38"/>
    </row>
    <row r="152" spans="7:10" ht="409.6">
      <c r="G152" s="102"/>
      <c r="H152" s="102"/>
      <c r="I152" s="239"/>
      <c r="J152" s="38"/>
    </row>
    <row r="153" spans="7:10" ht="409.6">
      <c r="G153" s="102"/>
      <c r="H153" s="102"/>
      <c r="I153" s="239"/>
      <c r="J153" s="38"/>
    </row>
    <row r="154" spans="7:10" ht="409.6">
      <c r="G154" s="102"/>
      <c r="H154" s="102"/>
      <c r="I154" s="239"/>
      <c r="J154" s="38"/>
    </row>
    <row r="155" spans="7:10" ht="409.6">
      <c r="G155" s="102"/>
      <c r="H155" s="102"/>
      <c r="I155" s="239"/>
      <c r="J155" s="38"/>
    </row>
    <row r="156" spans="7:10" ht="409.6">
      <c r="G156" s="102"/>
      <c r="H156" s="102"/>
      <c r="I156" s="239"/>
      <c r="J156" s="38"/>
    </row>
    <row r="157" spans="7:10" ht="409.6">
      <c r="G157" s="102"/>
      <c r="H157" s="102"/>
      <c r="I157" s="239"/>
      <c r="J157" s="38"/>
    </row>
    <row r="158" spans="7:10" ht="409.6">
      <c r="G158" s="102"/>
      <c r="H158" s="102"/>
      <c r="I158" s="239"/>
      <c r="J158" s="38"/>
    </row>
    <row r="159" spans="7:10" ht="409.6">
      <c r="G159" s="102"/>
      <c r="H159" s="102"/>
      <c r="I159" s="239"/>
      <c r="J159" s="38"/>
    </row>
    <row r="160" spans="7:10" ht="409.6">
      <c r="G160" s="102"/>
      <c r="H160" s="102"/>
      <c r="I160" s="239"/>
      <c r="J160" s="38"/>
    </row>
    <row r="161" spans="7:10" ht="409.6">
      <c r="G161" s="102"/>
      <c r="H161" s="102"/>
      <c r="I161" s="239"/>
      <c r="J161" s="38"/>
    </row>
    <row r="162" spans="7:10" ht="409.6">
      <c r="G162" s="102"/>
      <c r="H162" s="102"/>
      <c r="I162" s="239"/>
      <c r="J162" s="38"/>
    </row>
    <row r="163" spans="7:10" ht="409.6">
      <c r="G163" s="102"/>
      <c r="H163" s="102"/>
      <c r="I163" s="239"/>
      <c r="J163" s="38"/>
    </row>
    <row r="164" spans="7:10" ht="409.6">
      <c r="G164" s="102"/>
      <c r="H164" s="102"/>
      <c r="I164" s="239"/>
      <c r="J164" s="38"/>
    </row>
    <row r="165" spans="7:10" ht="409.6">
      <c r="G165" s="102"/>
      <c r="H165" s="102"/>
      <c r="I165" s="239"/>
      <c r="J165" s="38"/>
    </row>
    <row r="166" spans="7:10" ht="409.6">
      <c r="G166" s="102"/>
      <c r="H166" s="102"/>
      <c r="I166" s="239"/>
      <c r="J166" s="38"/>
    </row>
    <row r="167" spans="7:10" ht="409.6">
      <c r="G167" s="102"/>
      <c r="H167" s="102"/>
      <c r="I167" s="239"/>
      <c r="J167" s="38"/>
    </row>
    <row r="168" spans="7:10" ht="409.6">
      <c r="G168" s="102"/>
      <c r="H168" s="102"/>
      <c r="I168" s="239"/>
      <c r="J168" s="38"/>
    </row>
    <row r="169" spans="7:10" ht="409.6">
      <c r="G169" s="102"/>
      <c r="H169" s="102"/>
      <c r="I169" s="239"/>
      <c r="J169" s="38"/>
    </row>
    <row r="170" spans="7:10" ht="409.6">
      <c r="G170" s="102"/>
      <c r="H170" s="102"/>
      <c r="I170" s="239"/>
      <c r="J170" s="38"/>
    </row>
    <row r="171" spans="7:10" ht="409.6">
      <c r="G171" s="102"/>
      <c r="H171" s="102"/>
      <c r="I171" s="239"/>
      <c r="J171" s="38"/>
    </row>
    <row r="172" spans="7:10" ht="409.6">
      <c r="G172" s="102"/>
      <c r="H172" s="102"/>
      <c r="I172" s="239"/>
      <c r="J172" s="38"/>
    </row>
    <row r="173" spans="7:10" ht="409.6">
      <c r="G173" s="102"/>
      <c r="H173" s="102"/>
      <c r="I173" s="239"/>
      <c r="J173" s="38"/>
    </row>
    <row r="174" spans="7:10" ht="409.6">
      <c r="G174" s="102"/>
      <c r="H174" s="102"/>
      <c r="I174" s="239"/>
      <c r="J174" s="38"/>
    </row>
    <row r="175" spans="7:10" ht="409.6">
      <c r="G175" s="102"/>
      <c r="H175" s="102"/>
      <c r="I175" s="239"/>
      <c r="J175" s="38"/>
    </row>
    <row r="176" spans="7:10" ht="409.6">
      <c r="G176" s="102"/>
      <c r="H176" s="102"/>
      <c r="I176" s="239"/>
      <c r="J176" s="38"/>
    </row>
    <row r="177" spans="7:10" ht="409.6">
      <c r="G177" s="102"/>
      <c r="H177" s="102"/>
      <c r="I177" s="239"/>
      <c r="J177" s="38"/>
    </row>
    <row r="178" spans="7:10" ht="409.6">
      <c r="G178" s="102"/>
      <c r="H178" s="102"/>
      <c r="I178" s="239"/>
      <c r="J178" s="38"/>
    </row>
    <row r="179" spans="7:10" ht="409.6">
      <c r="G179" s="102"/>
      <c r="H179" s="102"/>
      <c r="I179" s="239"/>
      <c r="J179" s="38"/>
    </row>
    <row r="180" spans="7:10" ht="409.6">
      <c r="G180" s="102"/>
      <c r="H180" s="102"/>
      <c r="I180" s="239"/>
      <c r="J180" s="38"/>
    </row>
    <row r="181" spans="7:10" ht="409.6">
      <c r="G181" s="102"/>
      <c r="H181" s="102"/>
      <c r="I181" s="239"/>
      <c r="J181" s="38"/>
    </row>
    <row r="182" spans="7:10" ht="409.6">
      <c r="G182" s="102"/>
      <c r="H182" s="102"/>
      <c r="I182" s="239"/>
      <c r="J182" s="38"/>
    </row>
    <row r="183" spans="7:10" ht="409.6">
      <c r="G183" s="102"/>
      <c r="H183" s="102"/>
      <c r="I183" s="239"/>
      <c r="J183" s="38"/>
    </row>
    <row r="184" spans="7:10" ht="409.6">
      <c r="G184" s="102"/>
      <c r="H184" s="102"/>
      <c r="I184" s="239"/>
      <c r="J184" s="38"/>
    </row>
    <row r="185" spans="7:10" ht="409.6">
      <c r="G185" s="102"/>
      <c r="H185" s="102"/>
      <c r="I185" s="239"/>
      <c r="J185" s="38"/>
    </row>
    <row r="186" spans="7:10" ht="409.6">
      <c r="G186" s="102"/>
      <c r="H186" s="102"/>
      <c r="I186" s="239"/>
      <c r="J186" s="38"/>
    </row>
    <row r="187" spans="7:10" ht="409.6">
      <c r="G187" s="102"/>
      <c r="H187" s="102"/>
      <c r="I187" s="239"/>
      <c r="J187" s="38"/>
    </row>
    <row r="188" spans="7:10" ht="409.6">
      <c r="G188" s="102"/>
      <c r="H188" s="102"/>
      <c r="I188" s="239"/>
      <c r="J188" s="38"/>
    </row>
    <row r="189" spans="7:10" ht="409.6">
      <c r="G189" s="102"/>
      <c r="H189" s="102"/>
      <c r="I189" s="239"/>
      <c r="J189" s="38"/>
    </row>
    <row r="190" spans="7:10" ht="409.6">
      <c r="G190" s="102"/>
      <c r="H190" s="102"/>
      <c r="I190" s="239"/>
      <c r="J190" s="38"/>
    </row>
    <row r="191" spans="7:10" ht="409.6">
      <c r="G191" s="102"/>
      <c r="H191" s="102"/>
      <c r="I191" s="239"/>
      <c r="J191" s="38"/>
    </row>
    <row r="192" spans="7:10" ht="409.6">
      <c r="G192" s="102"/>
      <c r="H192" s="102"/>
      <c r="I192" s="239"/>
      <c r="J192" s="38"/>
    </row>
    <row r="193" spans="7:10" ht="409.6">
      <c r="G193" s="102"/>
      <c r="H193" s="102"/>
      <c r="I193" s="239"/>
      <c r="J193" s="38"/>
    </row>
    <row r="194" spans="7:10" ht="409.6">
      <c r="G194" s="102"/>
      <c r="H194" s="102"/>
      <c r="I194" s="239"/>
      <c r="J194" s="38"/>
    </row>
    <row r="195" spans="7:10" ht="409.6">
      <c r="G195" s="102"/>
      <c r="H195" s="102"/>
      <c r="I195" s="239"/>
      <c r="J195" s="38"/>
    </row>
    <row r="196" spans="7:10" ht="409.6">
      <c r="G196" s="102"/>
      <c r="H196" s="102"/>
      <c r="I196" s="239"/>
      <c r="J196" s="38"/>
    </row>
    <row r="197" spans="7:10" ht="409.6">
      <c r="G197" s="102"/>
      <c r="H197" s="102"/>
      <c r="I197" s="239"/>
      <c r="J197" s="38"/>
    </row>
    <row r="198" spans="7:10" ht="409.6">
      <c r="G198" s="102"/>
      <c r="H198" s="102"/>
      <c r="I198" s="239"/>
      <c r="J198" s="38"/>
    </row>
    <row r="199" spans="7:10" ht="409.6">
      <c r="G199" s="102"/>
      <c r="H199" s="102"/>
      <c r="I199" s="239"/>
      <c r="J199" s="38"/>
    </row>
    <row r="200" spans="7:10" ht="409.6">
      <c r="G200" s="102"/>
      <c r="H200" s="102"/>
      <c r="I200" s="239"/>
      <c r="J200" s="38"/>
    </row>
    <row r="201" spans="7:10" ht="409.6">
      <c r="G201" s="102"/>
      <c r="H201" s="102"/>
      <c r="I201" s="239"/>
      <c r="J201" s="38"/>
    </row>
    <row r="202" spans="7:10" ht="409.6">
      <c r="G202" s="102"/>
      <c r="H202" s="102"/>
      <c r="I202" s="239"/>
      <c r="J202" s="38"/>
    </row>
    <row r="203" spans="7:10" ht="409.6">
      <c r="G203" s="102"/>
      <c r="H203" s="102"/>
      <c r="I203" s="239"/>
      <c r="J203" s="38"/>
    </row>
    <row r="204" spans="7:10" ht="409.6">
      <c r="G204" s="102"/>
      <c r="H204" s="102"/>
      <c r="I204" s="239"/>
      <c r="J204" s="38"/>
    </row>
    <row r="205" spans="7:10" ht="409.6">
      <c r="G205" s="102"/>
      <c r="H205" s="102"/>
      <c r="I205" s="239"/>
      <c r="J205" s="38"/>
    </row>
    <row r="206" spans="7:10" ht="409.6">
      <c r="G206" s="102"/>
      <c r="H206" s="102"/>
      <c r="I206" s="239"/>
      <c r="J206" s="38"/>
    </row>
    <row r="207" spans="7:10" ht="409.6">
      <c r="G207" s="102"/>
      <c r="H207" s="102"/>
      <c r="I207" s="239"/>
      <c r="J207" s="38"/>
    </row>
    <row r="208" spans="7:10" ht="409.6">
      <c r="G208" s="102"/>
      <c r="H208" s="102"/>
      <c r="I208" s="239"/>
      <c r="J208" s="38"/>
    </row>
    <row r="209" spans="7:10" ht="409.6">
      <c r="G209" s="102"/>
      <c r="H209" s="102"/>
      <c r="I209" s="239"/>
      <c r="J209" s="38"/>
    </row>
    <row r="210" spans="7:10" ht="409.6">
      <c r="G210" s="102"/>
      <c r="H210" s="102"/>
      <c r="I210" s="239"/>
      <c r="J210" s="38"/>
    </row>
    <row r="211" spans="7:10" ht="409.6">
      <c r="G211" s="102"/>
      <c r="H211" s="102"/>
      <c r="I211" s="239"/>
      <c r="J211" s="38"/>
    </row>
    <row r="212" spans="7:10" ht="409.6">
      <c r="G212" s="102"/>
      <c r="H212" s="102"/>
      <c r="I212" s="239"/>
      <c r="J212" s="38"/>
    </row>
    <row r="213" spans="7:10" ht="409.6">
      <c r="G213" s="102"/>
      <c r="H213" s="102"/>
      <c r="I213" s="239"/>
      <c r="J213" s="38"/>
    </row>
    <row r="214" spans="7:10" ht="409.6">
      <c r="G214" s="102"/>
      <c r="H214" s="102"/>
      <c r="I214" s="239"/>
      <c r="J214" s="38"/>
    </row>
    <row r="215" spans="7:10" ht="409.6">
      <c r="G215" s="102"/>
      <c r="H215" s="102"/>
      <c r="I215" s="239"/>
      <c r="J215" s="38"/>
    </row>
    <row r="216" spans="7:10" ht="409.6">
      <c r="G216" s="102"/>
      <c r="H216" s="102"/>
      <c r="I216" s="239"/>
      <c r="J216" s="38"/>
    </row>
    <row r="217" spans="7:10" ht="409.6">
      <c r="G217" s="102"/>
      <c r="H217" s="102"/>
      <c r="I217" s="239"/>
      <c r="J217" s="38"/>
    </row>
    <row r="218" spans="7:10" ht="409.6">
      <c r="G218" s="102"/>
      <c r="H218" s="102"/>
      <c r="I218" s="239"/>
      <c r="J218" s="38"/>
    </row>
    <row r="219" spans="7:10" ht="409.6">
      <c r="G219" s="102"/>
      <c r="H219" s="102"/>
      <c r="I219" s="239"/>
      <c r="J219" s="38"/>
    </row>
    <row r="220" spans="7:10" ht="409.6">
      <c r="G220" s="102"/>
      <c r="H220" s="102"/>
      <c r="I220" s="239"/>
      <c r="J220" s="38"/>
    </row>
    <row r="221" spans="7:10" ht="409.6">
      <c r="G221" s="102"/>
      <c r="H221" s="102"/>
      <c r="I221" s="239"/>
      <c r="J221" s="38"/>
    </row>
    <row r="222" spans="7:10" ht="409.6">
      <c r="G222" s="102"/>
      <c r="H222" s="102"/>
      <c r="I222" s="239"/>
      <c r="J222" s="38"/>
    </row>
    <row r="223" spans="7:10" ht="409.6">
      <c r="G223" s="102"/>
      <c r="H223" s="102"/>
      <c r="I223" s="239"/>
      <c r="J223" s="38"/>
    </row>
    <row r="224" spans="7:10" ht="409.6">
      <c r="G224" s="102"/>
      <c r="H224" s="102"/>
      <c r="I224" s="239"/>
      <c r="J224" s="38"/>
    </row>
    <row r="225" spans="7:10" ht="409.6">
      <c r="G225" s="102"/>
      <c r="H225" s="102"/>
      <c r="I225" s="239"/>
      <c r="J225" s="38"/>
    </row>
    <row r="226" spans="7:10" ht="409.6">
      <c r="G226" s="102"/>
      <c r="H226" s="102"/>
      <c r="I226" s="239"/>
      <c r="J226" s="38"/>
    </row>
    <row r="227" spans="7:10" ht="409.6">
      <c r="G227" s="102"/>
      <c r="H227" s="102"/>
      <c r="I227" s="239"/>
      <c r="J227" s="38"/>
    </row>
    <row r="228" spans="7:10" ht="409.6">
      <c r="G228" s="102"/>
      <c r="H228" s="102"/>
      <c r="I228" s="239"/>
      <c r="J228" s="38"/>
    </row>
    <row r="229" spans="7:10" ht="409.6">
      <c r="G229" s="102"/>
      <c r="H229" s="102"/>
      <c r="I229" s="239"/>
      <c r="J229" s="38"/>
    </row>
    <row r="230" spans="7:10" ht="409.6">
      <c r="G230" s="102"/>
      <c r="H230" s="102"/>
      <c r="I230" s="239"/>
      <c r="J230" s="38"/>
    </row>
    <row r="231" spans="7:10" ht="409.6">
      <c r="G231" s="102"/>
      <c r="H231" s="102"/>
      <c r="I231" s="239"/>
      <c r="J231" s="38"/>
    </row>
    <row r="232" spans="7:10" ht="409.6">
      <c r="G232" s="102"/>
      <c r="H232" s="102"/>
      <c r="I232" s="239"/>
      <c r="J232" s="38"/>
    </row>
    <row r="233" spans="7:10" ht="409.6">
      <c r="G233" s="102"/>
      <c r="H233" s="102"/>
      <c r="I233" s="239"/>
      <c r="J233" s="38"/>
    </row>
    <row r="234" spans="7:10" ht="409.6">
      <c r="G234" s="102"/>
      <c r="H234" s="102"/>
      <c r="I234" s="239"/>
      <c r="J234" s="38"/>
    </row>
    <row r="235" spans="7:10" ht="409.6">
      <c r="G235" s="102"/>
      <c r="H235" s="102"/>
      <c r="I235" s="239"/>
      <c r="J235" s="38"/>
    </row>
    <row r="236" spans="7:10" ht="409.6">
      <c r="G236" s="102"/>
      <c r="H236" s="102"/>
      <c r="I236" s="239"/>
      <c r="J236" s="38"/>
    </row>
    <row r="237" spans="7:10" ht="409.6">
      <c r="G237" s="102"/>
      <c r="H237" s="102"/>
      <c r="I237" s="239"/>
      <c r="J237" s="38"/>
    </row>
    <row r="238" spans="7:10" ht="409.6">
      <c r="G238" s="102"/>
      <c r="H238" s="102"/>
      <c r="I238" s="239"/>
      <c r="J238" s="38"/>
    </row>
    <row r="239" spans="7:10" ht="409.6">
      <c r="G239" s="102"/>
      <c r="H239" s="102"/>
      <c r="I239" s="239"/>
      <c r="J239" s="38"/>
    </row>
    <row r="240" spans="7:10" ht="409.6">
      <c r="G240" s="102"/>
      <c r="H240" s="102"/>
      <c r="I240" s="239"/>
      <c r="J240" s="38"/>
    </row>
    <row r="241" spans="7:10" ht="409.6">
      <c r="G241" s="102"/>
      <c r="H241" s="102"/>
      <c r="I241" s="239"/>
      <c r="J241" s="38"/>
    </row>
    <row r="242" spans="7:10" ht="409.6">
      <c r="G242" s="102"/>
      <c r="H242" s="102"/>
      <c r="I242" s="239"/>
      <c r="J242" s="38"/>
    </row>
    <row r="243" spans="7:10" ht="409.6">
      <c r="G243" s="102"/>
      <c r="H243" s="102"/>
      <c r="I243" s="239"/>
      <c r="J243" s="38"/>
    </row>
    <row r="244" spans="7:10" ht="409.6">
      <c r="G244" s="102"/>
      <c r="H244" s="102"/>
      <c r="I244" s="239"/>
      <c r="J244" s="38"/>
    </row>
    <row r="245" spans="7:10" ht="409.6">
      <c r="G245" s="102"/>
      <c r="H245" s="102"/>
      <c r="I245" s="239"/>
      <c r="J245" s="38"/>
    </row>
    <row r="246" spans="7:10" ht="409.6">
      <c r="G246" s="102"/>
      <c r="H246" s="102"/>
      <c r="I246" s="239"/>
      <c r="J246" s="38"/>
    </row>
    <row r="247" spans="7:10" ht="409.6">
      <c r="G247" s="102"/>
      <c r="H247" s="102"/>
      <c r="I247" s="239"/>
      <c r="J247" s="38"/>
    </row>
    <row r="248" spans="7:10" ht="409.6">
      <c r="G248" s="102"/>
      <c r="H248" s="102"/>
      <c r="I248" s="239"/>
      <c r="J248" s="38"/>
    </row>
    <row r="249" spans="7:10" ht="409.6">
      <c r="G249" s="102"/>
      <c r="H249" s="102"/>
      <c r="I249" s="239"/>
      <c r="J249" s="38"/>
    </row>
    <row r="250" spans="7:10" ht="409.6">
      <c r="G250" s="102"/>
      <c r="H250" s="102"/>
      <c r="I250" s="239"/>
      <c r="J250" s="38"/>
    </row>
    <row r="251" spans="7:10" ht="409.6">
      <c r="G251" s="102"/>
      <c r="H251" s="102"/>
      <c r="I251" s="239"/>
      <c r="J251" s="38"/>
    </row>
    <row r="252" spans="7:10" ht="409.6">
      <c r="G252" s="102"/>
      <c r="H252" s="102"/>
      <c r="I252" s="239"/>
      <c r="J252" s="38"/>
    </row>
    <row r="253" spans="7:10" ht="409.6">
      <c r="G253" s="102"/>
      <c r="H253" s="102"/>
      <c r="I253" s="239"/>
      <c r="J253" s="38"/>
    </row>
    <row r="254" spans="7:10" ht="409.6">
      <c r="G254" s="102"/>
      <c r="H254" s="102"/>
      <c r="I254" s="239"/>
      <c r="J254" s="38"/>
    </row>
    <row r="255" spans="7:10" ht="409.6">
      <c r="G255" s="102"/>
      <c r="H255" s="102"/>
      <c r="I255" s="239"/>
      <c r="J255" s="38"/>
    </row>
    <row r="256" spans="7:10" ht="409.6">
      <c r="G256" s="102"/>
      <c r="H256" s="102"/>
      <c r="I256" s="239"/>
      <c r="J256" s="38"/>
    </row>
    <row r="257" spans="7:10" ht="409.6">
      <c r="G257" s="102"/>
      <c r="H257" s="102"/>
      <c r="I257" s="239"/>
      <c r="J257" s="38"/>
    </row>
    <row r="258" spans="7:10" ht="409.6">
      <c r="G258" s="102"/>
      <c r="H258" s="102"/>
      <c r="I258" s="239"/>
      <c r="J258" s="38"/>
    </row>
    <row r="259" spans="7:10" ht="409.6">
      <c r="G259" s="102"/>
      <c r="H259" s="102"/>
      <c r="I259" s="239"/>
      <c r="J259" s="38"/>
    </row>
    <row r="260" spans="7:10" ht="409.6">
      <c r="G260" s="102"/>
      <c r="H260" s="102"/>
      <c r="I260" s="239"/>
      <c r="J260" s="38"/>
    </row>
    <row r="261" spans="7:10" ht="409.6">
      <c r="G261" s="102"/>
      <c r="H261" s="102"/>
      <c r="I261" s="239"/>
      <c r="J261" s="38"/>
    </row>
    <row r="262" spans="7:10" ht="409.6">
      <c r="G262" s="102"/>
      <c r="H262" s="102"/>
      <c r="I262" s="239"/>
      <c r="J262" s="38"/>
    </row>
    <row r="263" spans="7:10" ht="409.6">
      <c r="G263" s="102"/>
      <c r="H263" s="102"/>
      <c r="I263" s="239"/>
      <c r="J263" s="38"/>
    </row>
    <row r="264" spans="7:10" ht="409.6">
      <c r="G264" s="102"/>
      <c r="H264" s="102"/>
      <c r="I264" s="239"/>
      <c r="J264" s="38"/>
    </row>
    <row r="265" spans="7:10" ht="409.6">
      <c r="G265" s="102"/>
      <c r="H265" s="102"/>
      <c r="I265" s="239"/>
      <c r="J265" s="38"/>
    </row>
    <row r="266" spans="7:10" ht="409.6">
      <c r="G266" s="102"/>
      <c r="H266" s="102"/>
      <c r="I266" s="239"/>
      <c r="J266" s="38"/>
    </row>
    <row r="267" spans="7:10" ht="409.6">
      <c r="G267" s="102"/>
      <c r="H267" s="102"/>
      <c r="I267" s="239"/>
      <c r="J267" s="38"/>
    </row>
    <row r="268" spans="7:10" ht="409.6">
      <c r="G268" s="102"/>
      <c r="H268" s="102"/>
      <c r="I268" s="239"/>
      <c r="J268" s="38"/>
    </row>
    <row r="269" spans="7:10" ht="409.6">
      <c r="G269" s="102"/>
      <c r="H269" s="102"/>
      <c r="I269" s="239"/>
      <c r="J269" s="38"/>
    </row>
    <row r="270" spans="7:10" ht="409.6">
      <c r="G270" s="102"/>
      <c r="H270" s="102"/>
      <c r="I270" s="239"/>
      <c r="J270" s="38"/>
    </row>
    <row r="271" spans="7:10" ht="409.6">
      <c r="G271" s="102"/>
      <c r="H271" s="102"/>
      <c r="I271" s="239"/>
      <c r="J271" s="38"/>
    </row>
    <row r="272" spans="7:10" ht="409.6">
      <c r="G272" s="102"/>
      <c r="H272" s="102"/>
      <c r="I272" s="239"/>
      <c r="J272" s="38"/>
    </row>
    <row r="273" spans="7:10" ht="409.6">
      <c r="G273" s="102"/>
      <c r="H273" s="102"/>
      <c r="I273" s="239"/>
      <c r="J273" s="38"/>
    </row>
    <row r="274" spans="7:10" ht="409.6">
      <c r="G274" s="102"/>
      <c r="H274" s="102"/>
      <c r="I274" s="239"/>
      <c r="J274" s="38"/>
    </row>
    <row r="275" spans="7:10" ht="409.6">
      <c r="G275" s="102"/>
      <c r="H275" s="102"/>
      <c r="I275" s="239"/>
      <c r="J275" s="38"/>
    </row>
    <row r="276" spans="7:10" ht="409.6">
      <c r="G276" s="102"/>
      <c r="H276" s="102"/>
      <c r="I276" s="239"/>
      <c r="J276" s="38"/>
    </row>
    <row r="277" spans="7:10" ht="409.6">
      <c r="G277" s="102"/>
      <c r="H277" s="102"/>
      <c r="I277" s="239"/>
      <c r="J277" s="38"/>
    </row>
    <row r="278" spans="7:10" ht="409.6">
      <c r="G278" s="102"/>
      <c r="H278" s="102"/>
      <c r="I278" s="239"/>
      <c r="J278" s="38"/>
    </row>
    <row r="279" spans="7:10" ht="409.6">
      <c r="G279" s="102"/>
      <c r="H279" s="102"/>
      <c r="I279" s="239"/>
      <c r="J279" s="38"/>
    </row>
    <row r="280" spans="7:10" ht="409.6">
      <c r="G280" s="102"/>
      <c r="H280" s="102"/>
      <c r="I280" s="239"/>
      <c r="J280" s="38"/>
    </row>
    <row r="281" spans="7:10" ht="409.6">
      <c r="G281" s="102"/>
      <c r="H281" s="102"/>
      <c r="I281" s="239"/>
      <c r="J281" s="38"/>
    </row>
    <row r="282" spans="7:10" ht="409.6">
      <c r="G282" s="102"/>
      <c r="H282" s="102"/>
      <c r="I282" s="239"/>
      <c r="J282" s="38"/>
    </row>
    <row r="283" spans="7:10" ht="409.6">
      <c r="G283" s="102"/>
      <c r="H283" s="102"/>
      <c r="I283" s="239"/>
      <c r="J283" s="38"/>
    </row>
    <row r="284" spans="7:10" ht="409.6">
      <c r="G284" s="102"/>
      <c r="H284" s="102"/>
      <c r="I284" s="239"/>
      <c r="J284" s="38"/>
    </row>
    <row r="285" spans="7:10" ht="409.6">
      <c r="G285" s="102"/>
      <c r="H285" s="102"/>
      <c r="I285" s="239"/>
      <c r="J285" s="38"/>
    </row>
    <row r="286" spans="7:10" ht="409.6">
      <c r="G286" s="102"/>
      <c r="H286" s="102"/>
      <c r="I286" s="239"/>
      <c r="J286" s="38"/>
    </row>
    <row r="287" spans="7:10" ht="409.6">
      <c r="G287" s="102"/>
      <c r="H287" s="102"/>
      <c r="I287" s="239"/>
      <c r="J287" s="38"/>
    </row>
    <row r="288" spans="7:10" ht="409.6">
      <c r="G288" s="102"/>
      <c r="H288" s="102"/>
      <c r="I288" s="239"/>
      <c r="J288" s="38"/>
    </row>
    <row r="289" spans="7:10" ht="409.6">
      <c r="G289" s="102"/>
      <c r="H289" s="102"/>
      <c r="I289" s="239"/>
      <c r="J289" s="38"/>
    </row>
    <row r="290" spans="7:10" ht="409.6">
      <c r="G290" s="102"/>
      <c r="H290" s="102"/>
      <c r="I290" s="239"/>
      <c r="J290" s="38"/>
    </row>
    <row r="291" spans="7:10" ht="409.6">
      <c r="G291" s="102"/>
      <c r="H291" s="102"/>
      <c r="I291" s="239"/>
      <c r="J291" s="38"/>
    </row>
    <row r="292" spans="7:10" ht="409.6">
      <c r="G292" s="102"/>
      <c r="H292" s="102"/>
      <c r="I292" s="239"/>
      <c r="J292" s="38"/>
    </row>
    <row r="293" spans="7:10" ht="409.6">
      <c r="G293" s="102"/>
      <c r="H293" s="102"/>
      <c r="I293" s="239"/>
      <c r="J293" s="38"/>
    </row>
    <row r="294" spans="7:10" ht="409.6">
      <c r="G294" s="102"/>
      <c r="H294" s="102"/>
      <c r="I294" s="239"/>
      <c r="J294" s="38"/>
    </row>
    <row r="295" spans="7:10" ht="409.6">
      <c r="G295" s="102"/>
      <c r="H295" s="102"/>
      <c r="I295" s="239"/>
      <c r="J295" s="38"/>
    </row>
    <row r="296" spans="7:10" ht="409.6">
      <c r="G296" s="102"/>
      <c r="H296" s="102"/>
      <c r="I296" s="239"/>
      <c r="J296" s="38"/>
    </row>
    <row r="297" spans="7:10" ht="409.6">
      <c r="G297" s="102"/>
      <c r="H297" s="102"/>
      <c r="I297" s="239"/>
      <c r="J297" s="38"/>
    </row>
    <row r="298" spans="7:10" ht="409.6">
      <c r="G298" s="102"/>
      <c r="H298" s="102"/>
      <c r="I298" s="239"/>
      <c r="J298" s="38"/>
    </row>
    <row r="299" spans="7:10" ht="409.6">
      <c r="G299" s="102"/>
      <c r="H299" s="102"/>
      <c r="I299" s="239"/>
      <c r="J299" s="38"/>
    </row>
    <row r="300" spans="7:10" ht="409.6">
      <c r="G300" s="102"/>
      <c r="H300" s="102"/>
      <c r="I300" s="239"/>
      <c r="J300" s="38"/>
    </row>
    <row r="301" spans="7:10" ht="409.6">
      <c r="G301" s="102"/>
      <c r="H301" s="102"/>
      <c r="I301" s="239"/>
      <c r="J301" s="38"/>
    </row>
    <row r="302" spans="7:10" ht="409.6">
      <c r="G302" s="102"/>
      <c r="H302" s="102"/>
      <c r="I302" s="239"/>
      <c r="J302" s="38"/>
    </row>
    <row r="303" spans="7:10" ht="409.6">
      <c r="G303" s="102"/>
      <c r="H303" s="102"/>
      <c r="I303" s="239"/>
      <c r="J303" s="38"/>
    </row>
    <row r="304" spans="7:10" ht="409.6">
      <c r="G304" s="102"/>
      <c r="H304" s="102"/>
      <c r="I304" s="239"/>
      <c r="J304" s="38"/>
    </row>
    <row r="305" spans="7:10" ht="409.6">
      <c r="G305" s="102"/>
      <c r="H305" s="102"/>
      <c r="I305" s="239"/>
      <c r="J305" s="38"/>
    </row>
    <row r="306" spans="7:10" ht="409.6">
      <c r="G306" s="102"/>
      <c r="H306" s="102"/>
      <c r="I306" s="239"/>
      <c r="J306" s="38"/>
    </row>
    <row r="307" spans="7:10" ht="409.6">
      <c r="G307" s="102"/>
      <c r="H307" s="102"/>
      <c r="I307" s="239"/>
      <c r="J307" s="38"/>
    </row>
    <row r="308" spans="7:10" ht="409.6">
      <c r="G308" s="102"/>
      <c r="H308" s="102"/>
      <c r="I308" s="239"/>
      <c r="J308" s="38"/>
    </row>
    <row r="309" spans="7:10" ht="409.6">
      <c r="G309" s="102"/>
      <c r="H309" s="102"/>
      <c r="I309" s="239"/>
      <c r="J309" s="38"/>
    </row>
    <row r="310" spans="7:10" ht="409.6">
      <c r="G310" s="102"/>
      <c r="H310" s="102"/>
      <c r="I310" s="239"/>
      <c r="J310" s="38"/>
    </row>
    <row r="311" spans="7:10" ht="409.6">
      <c r="G311" s="102"/>
      <c r="H311" s="102"/>
      <c r="I311" s="239"/>
      <c r="J311" s="38"/>
    </row>
    <row r="312" spans="7:10" ht="409.6">
      <c r="G312" s="102"/>
      <c r="H312" s="102"/>
      <c r="I312" s="239"/>
      <c r="J312" s="38"/>
    </row>
    <row r="313" spans="7:10" ht="409.6">
      <c r="G313" s="102"/>
      <c r="H313" s="102"/>
      <c r="I313" s="239"/>
      <c r="J313" s="38"/>
    </row>
    <row r="314" spans="7:10" ht="409.6">
      <c r="G314" s="102"/>
      <c r="H314" s="102"/>
      <c r="I314" s="239"/>
      <c r="J314" s="38"/>
    </row>
    <row r="315" spans="7:10" ht="409.6">
      <c r="G315" s="102"/>
      <c r="H315" s="102"/>
      <c r="I315" s="239"/>
      <c r="J315" s="38"/>
    </row>
    <row r="316" spans="7:10" ht="409.6">
      <c r="G316" s="102"/>
      <c r="H316" s="102"/>
      <c r="I316" s="239"/>
      <c r="J316" s="38"/>
    </row>
    <row r="317" spans="7:10" ht="409.6">
      <c r="G317" s="102"/>
      <c r="H317" s="102"/>
      <c r="I317" s="239"/>
      <c r="J317" s="38"/>
    </row>
    <row r="318" spans="7:10" ht="409.6">
      <c r="G318" s="102"/>
      <c r="H318" s="102"/>
      <c r="I318" s="239"/>
      <c r="J318" s="38"/>
    </row>
    <row r="319" spans="7:10" ht="409.6">
      <c r="G319" s="102"/>
      <c r="H319" s="102"/>
      <c r="I319" s="239"/>
      <c r="J319" s="38"/>
    </row>
    <row r="320" spans="7:10" ht="409.6">
      <c r="G320" s="102"/>
      <c r="H320" s="102"/>
      <c r="I320" s="239"/>
      <c r="J320" s="38"/>
    </row>
    <row r="321" spans="7:10" ht="409.6">
      <c r="G321" s="102"/>
      <c r="H321" s="102"/>
      <c r="I321" s="239"/>
      <c r="J321" s="38"/>
    </row>
    <row r="322" spans="7:10" ht="409.6">
      <c r="G322" s="102"/>
      <c r="H322" s="102"/>
      <c r="I322" s="239"/>
      <c r="J322" s="38"/>
    </row>
    <row r="323" spans="7:10" ht="409.6">
      <c r="G323" s="102"/>
      <c r="H323" s="102"/>
      <c r="I323" s="239"/>
      <c r="J323" s="38"/>
    </row>
    <row r="324" spans="7:10" ht="409.6">
      <c r="G324" s="102"/>
      <c r="H324" s="102"/>
      <c r="I324" s="239"/>
      <c r="J324" s="38"/>
    </row>
    <row r="325" spans="7:10" ht="409.6">
      <c r="G325" s="102"/>
      <c r="H325" s="102"/>
      <c r="I325" s="239"/>
      <c r="J325" s="38"/>
    </row>
    <row r="326" spans="7:10" ht="409.6">
      <c r="G326" s="102"/>
      <c r="H326" s="102"/>
      <c r="I326" s="239"/>
      <c r="J326" s="38"/>
    </row>
    <row r="327" spans="7:10" ht="409.6">
      <c r="G327" s="102"/>
      <c r="H327" s="102"/>
      <c r="I327" s="239"/>
      <c r="J327" s="38"/>
    </row>
    <row r="328" spans="7:10" ht="409.6">
      <c r="G328" s="102"/>
      <c r="H328" s="102"/>
      <c r="I328" s="239"/>
      <c r="J328" s="38"/>
    </row>
    <row r="329" spans="7:10" ht="409.6">
      <c r="G329" s="102"/>
      <c r="H329" s="102"/>
      <c r="I329" s="239"/>
      <c r="J329" s="38"/>
    </row>
    <row r="330" spans="7:10" ht="409.6">
      <c r="G330" s="102"/>
      <c r="H330" s="102"/>
      <c r="I330" s="239"/>
      <c r="J330" s="38"/>
    </row>
    <row r="331" spans="7:10" ht="409.6">
      <c r="G331" s="102"/>
      <c r="H331" s="102"/>
      <c r="I331" s="239"/>
      <c r="J331" s="38"/>
    </row>
    <row r="332" spans="7:10" ht="409.6">
      <c r="G332" s="102"/>
      <c r="H332" s="102"/>
      <c r="I332" s="239"/>
      <c r="J332" s="38"/>
    </row>
    <row r="333" spans="7:10" ht="409.6">
      <c r="G333" s="102"/>
      <c r="H333" s="102"/>
      <c r="J333" s="38"/>
    </row>
    <row r="334" spans="7:10" ht="409.6">
      <c r="G334" s="102"/>
      <c r="H334" s="102"/>
      <c r="J334" s="38"/>
    </row>
    <row r="335" spans="7:10" ht="409.6">
      <c r="G335" s="102"/>
      <c r="H335" s="102"/>
      <c r="J335" s="38"/>
    </row>
    <row r="336" spans="7:10" ht="409.6">
      <c r="G336" s="102"/>
      <c r="H336" s="102"/>
      <c r="J336" s="38"/>
    </row>
    <row r="337" spans="7:10" ht="409.6">
      <c r="G337" s="102"/>
      <c r="H337" s="102"/>
      <c r="J337" s="38"/>
    </row>
    <row r="338" spans="7:10" ht="409.6">
      <c r="G338" s="102"/>
      <c r="H338" s="102"/>
      <c r="J338" s="38"/>
    </row>
    <row r="339" spans="7:10" ht="409.6">
      <c r="G339" s="102"/>
      <c r="H339" s="102"/>
      <c r="J339" s="38"/>
    </row>
    <row r="340" spans="7:10" ht="409.6">
      <c r="G340" s="102"/>
      <c r="H340" s="102"/>
      <c r="J340" s="38"/>
    </row>
    <row r="341" spans="7:10" ht="409.6">
      <c r="G341" s="102"/>
      <c r="H341" s="102"/>
    </row>
    <row r="342" spans="7:10" ht="409.6">
      <c r="G342" s="102"/>
      <c r="H342" s="102"/>
    </row>
    <row r="343" spans="7:10" ht="409.6">
      <c r="G343" s="102"/>
      <c r="H343" s="102"/>
    </row>
    <row r="344" spans="7:10" ht="409.6">
      <c r="G344" s="102"/>
      <c r="H344" s="102"/>
    </row>
    <row r="345" spans="7:10" ht="409.6">
      <c r="G345" s="102"/>
      <c r="H345" s="102"/>
    </row>
    <row r="346" spans="7:10" ht="409.6">
      <c r="G346" s="102"/>
      <c r="H346" s="102"/>
    </row>
    <row r="347" spans="7:10" ht="409.6">
      <c r="G347" s="102"/>
      <c r="H347" s="102"/>
    </row>
    <row r="348" spans="7:10" ht="409.6">
      <c r="G348" s="102"/>
      <c r="H348" s="102"/>
    </row>
    <row r="349" spans="7:10" ht="409.6">
      <c r="G349" s="102"/>
      <c r="H349" s="102"/>
    </row>
    <row r="350" spans="7:10" ht="409.6">
      <c r="G350" s="102"/>
      <c r="H350" s="102"/>
    </row>
    <row r="351" spans="7:10" ht="409.6">
      <c r="G351" s="102"/>
      <c r="H351" s="102"/>
    </row>
    <row r="352" spans="7:10" ht="409.6">
      <c r="G352" s="102"/>
      <c r="H352" s="102"/>
    </row>
    <row r="353" spans="7:8" ht="409.6">
      <c r="G353" s="102"/>
      <c r="H353" s="102"/>
    </row>
    <row r="354" spans="7:8" ht="409.6">
      <c r="G354" s="102"/>
      <c r="H354" s="102"/>
    </row>
    <row r="355" spans="7:8" ht="409.6">
      <c r="G355" s="102"/>
      <c r="H355" s="102"/>
    </row>
    <row r="356" spans="7:8" ht="409.6">
      <c r="G356" s="102"/>
      <c r="H356" s="102"/>
    </row>
    <row r="357" spans="7:8" ht="409.6">
      <c r="G357" s="102"/>
      <c r="H357" s="102"/>
    </row>
    <row r="358" spans="7:8" ht="409.6">
      <c r="G358" s="102"/>
      <c r="H358" s="102"/>
    </row>
    <row r="359" spans="7:8" ht="409.6">
      <c r="G359" s="102"/>
      <c r="H359" s="102"/>
    </row>
    <row r="360" spans="7:8" ht="409.6">
      <c r="G360" s="102"/>
      <c r="H360" s="102"/>
    </row>
    <row r="361" spans="7:8" ht="409.6">
      <c r="G361" s="102"/>
      <c r="H361" s="102"/>
    </row>
    <row r="362" spans="7:8" ht="409.6">
      <c r="G362" s="102"/>
      <c r="H362" s="102"/>
    </row>
    <row r="363" spans="7:8" ht="409.6">
      <c r="G363" s="102"/>
      <c r="H363" s="102"/>
    </row>
    <row r="364" spans="7:8" ht="409.6">
      <c r="G364" s="102"/>
      <c r="H364" s="102"/>
    </row>
    <row r="365" spans="7:8" ht="409.6">
      <c r="G365" s="102"/>
      <c r="H365" s="102"/>
    </row>
    <row r="366" spans="7:8" ht="409.6">
      <c r="G366" s="102"/>
      <c r="H366" s="102"/>
    </row>
    <row r="367" spans="7:8" ht="409.6">
      <c r="G367" s="102"/>
      <c r="H367" s="102"/>
    </row>
    <row r="368" spans="7:8" ht="409.6">
      <c r="G368" s="102"/>
      <c r="H368" s="102"/>
    </row>
    <row r="369" spans="7:8" ht="409.6">
      <c r="G369" s="102"/>
      <c r="H369" s="102"/>
    </row>
    <row r="370" spans="7:8" ht="409.6">
      <c r="G370" s="102"/>
      <c r="H370" s="102"/>
    </row>
    <row r="371" spans="7:8" ht="409.6">
      <c r="G371" s="102"/>
      <c r="H371" s="102"/>
    </row>
    <row r="372" spans="7:8" ht="409.6">
      <c r="G372" s="102"/>
      <c r="H372" s="102"/>
    </row>
    <row r="373" spans="7:8" ht="409.6">
      <c r="G373" s="102"/>
      <c r="H373" s="102"/>
    </row>
    <row r="374" spans="7:8" ht="409.6">
      <c r="G374" s="102"/>
      <c r="H374" s="102"/>
    </row>
    <row r="375" spans="7:8" ht="409.6">
      <c r="G375" s="102"/>
      <c r="H375" s="102"/>
    </row>
    <row r="376" spans="7:8" ht="409.6">
      <c r="G376" s="102"/>
      <c r="H376" s="102"/>
    </row>
  </sheetData>
  <pageMargins left="0.7" right="0.7" top="0.75" bottom="0.75" header="0.3" footer="0.3"/>
  <pageSetup scale="60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6"/>
  <sheetViews>
    <sheetView zoomScaleNormal="100" workbookViewId="0">
      <pane ySplit="2" topLeftCell="A236" activePane="bottomLeft" state="frozen"/>
      <selection pane="bottomLeft" activeCell="A255" sqref="A255"/>
    </sheetView>
  </sheetViews>
  <sheetFormatPr defaultRowHeight="15"/>
  <cols>
    <col min="1" max="1" width="9.140625" style="35"/>
    <col min="2" max="2" width="11.42578125" style="35" bestFit="1" customWidth="1"/>
    <col min="3" max="3" width="49.5703125" style="35" bestFit="1" customWidth="1"/>
    <col min="4" max="4" width="17.85546875" style="115" customWidth="1"/>
    <col min="5" max="5" width="24" style="115" hidden="1" customWidth="1"/>
    <col min="6" max="6" width="26" style="115" bestFit="1" customWidth="1"/>
    <col min="7" max="7" width="20.7109375" style="133" hidden="1" customWidth="1"/>
    <col min="8" max="8" width="26" style="38" bestFit="1" customWidth="1"/>
    <col min="9" max="11" width="26" style="38" customWidth="1"/>
    <col min="12" max="12" width="23" style="38" bestFit="1" customWidth="1"/>
    <col min="13" max="13" width="14.85546875" style="35" bestFit="1" customWidth="1"/>
    <col min="14" max="14" width="19.7109375" style="35" bestFit="1" customWidth="1"/>
    <col min="15" max="16" width="26" style="35" bestFit="1" customWidth="1"/>
    <col min="17" max="16384" width="9.140625" style="35"/>
  </cols>
  <sheetData>
    <row r="1" spans="1:14" customFormat="1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27"/>
      <c r="M1" s="27"/>
    </row>
    <row r="2" spans="1:14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246" t="s">
        <v>1123</v>
      </c>
      <c r="K2" s="231"/>
      <c r="L2" s="44"/>
      <c r="M2" s="44"/>
    </row>
    <row r="3" spans="1:14" s="71" customFormat="1">
      <c r="A3" s="72" t="s">
        <v>921</v>
      </c>
      <c r="B3" s="72"/>
      <c r="C3" s="72"/>
      <c r="D3" s="103"/>
      <c r="E3" s="103"/>
      <c r="F3" s="103"/>
      <c r="G3" s="103"/>
      <c r="H3" s="103"/>
      <c r="I3" s="234"/>
      <c r="J3" s="73"/>
      <c r="K3" s="73"/>
      <c r="L3" s="70"/>
    </row>
    <row r="4" spans="1:14">
      <c r="A4" s="79">
        <v>275</v>
      </c>
      <c r="B4" s="79">
        <v>1</v>
      </c>
      <c r="C4" s="79" t="s">
        <v>16</v>
      </c>
      <c r="D4" s="104">
        <v>3667667.58</v>
      </c>
      <c r="E4" s="104">
        <v>2655614.5299999998</v>
      </c>
      <c r="F4" s="104">
        <f>L4*5.8/100+L4</f>
        <v>4214460.25911</v>
      </c>
      <c r="G4" s="104">
        <v>2115453.08</v>
      </c>
      <c r="H4" s="252">
        <v>4286106.0835148701</v>
      </c>
      <c r="I4" s="235">
        <v>2115453.08</v>
      </c>
      <c r="J4" s="84">
        <f>SALARIES!J178</f>
        <v>4543272.4485257622</v>
      </c>
      <c r="K4" s="91"/>
      <c r="L4" s="165">
        <f t="shared" ref="L4:L9" si="0">+E4/8*12</f>
        <v>3983421.7949999999</v>
      </c>
      <c r="N4" s="38"/>
    </row>
    <row r="5" spans="1:14">
      <c r="A5" s="79">
        <v>275</v>
      </c>
      <c r="B5" s="79">
        <v>3</v>
      </c>
      <c r="C5" s="79" t="s">
        <v>125</v>
      </c>
      <c r="D5" s="104">
        <v>110656.24</v>
      </c>
      <c r="E5" s="104">
        <v>77500.02</v>
      </c>
      <c r="F5" s="104">
        <v>162992.53</v>
      </c>
      <c r="G5" s="104">
        <v>57271.9</v>
      </c>
      <c r="H5" s="252">
        <v>165763.40477958001</v>
      </c>
      <c r="I5" s="235">
        <v>57271.9</v>
      </c>
      <c r="J5" s="84">
        <f>SALARIES!J179</f>
        <v>175709.20906635482</v>
      </c>
      <c r="K5" s="91"/>
      <c r="L5" s="165">
        <f t="shared" si="0"/>
        <v>116250.03</v>
      </c>
    </row>
    <row r="6" spans="1:14">
      <c r="A6" s="79">
        <v>275</v>
      </c>
      <c r="B6" s="79">
        <v>4</v>
      </c>
      <c r="C6" s="79" t="s">
        <v>58</v>
      </c>
      <c r="D6" s="104">
        <v>9459.32</v>
      </c>
      <c r="E6" s="104">
        <v>7166.4</v>
      </c>
      <c r="F6" s="104">
        <f t="shared" ref="F6:F17" si="1">L6*5.8/100+L6</f>
        <v>11373.076799999999</v>
      </c>
      <c r="G6" s="104">
        <v>6250.07</v>
      </c>
      <c r="H6" s="252">
        <v>11566.419105599998</v>
      </c>
      <c r="I6" s="235">
        <v>6250.07</v>
      </c>
      <c r="J6" s="84">
        <f>SALARIES!J180</f>
        <v>12260.404251935997</v>
      </c>
      <c r="K6" s="91"/>
      <c r="L6" s="165">
        <f t="shared" si="0"/>
        <v>10749.599999999999</v>
      </c>
    </row>
    <row r="7" spans="1:14">
      <c r="A7" s="79">
        <v>275</v>
      </c>
      <c r="B7" s="79">
        <v>6</v>
      </c>
      <c r="C7" s="79" t="s">
        <v>19</v>
      </c>
      <c r="D7" s="104">
        <v>109663.2</v>
      </c>
      <c r="E7" s="104">
        <v>83895.6</v>
      </c>
      <c r="F7" s="104">
        <f t="shared" si="1"/>
        <v>133142.31720000002</v>
      </c>
      <c r="G7" s="104">
        <v>76918.8</v>
      </c>
      <c r="H7" s="252">
        <v>135405.73659240003</v>
      </c>
      <c r="I7" s="235">
        <v>76918.8</v>
      </c>
      <c r="J7" s="84">
        <f>SALARIES!J181</f>
        <v>143530.08078794403</v>
      </c>
      <c r="K7" s="91"/>
      <c r="L7" s="165">
        <f t="shared" si="0"/>
        <v>125843.40000000001</v>
      </c>
    </row>
    <row r="8" spans="1:14">
      <c r="A8" s="79">
        <v>275</v>
      </c>
      <c r="B8" s="79">
        <v>8</v>
      </c>
      <c r="C8" s="79" t="s">
        <v>173</v>
      </c>
      <c r="D8" s="104">
        <v>308487.15999999997</v>
      </c>
      <c r="E8" s="104">
        <v>251900.25</v>
      </c>
      <c r="F8" s="104">
        <f t="shared" si="1"/>
        <v>399765.69675</v>
      </c>
      <c r="G8" s="104">
        <v>218881.92000000001</v>
      </c>
      <c r="H8" s="252">
        <v>406561.71359474998</v>
      </c>
      <c r="I8" s="235">
        <v>218881.92000000001</v>
      </c>
      <c r="J8" s="84">
        <f>SALARIES!J182</f>
        <v>430955.41641043499</v>
      </c>
      <c r="K8" s="91"/>
      <c r="L8" s="165">
        <f t="shared" si="0"/>
        <v>377850.375</v>
      </c>
    </row>
    <row r="9" spans="1:14">
      <c r="A9" s="79">
        <v>275</v>
      </c>
      <c r="B9" s="79">
        <v>10</v>
      </c>
      <c r="C9" s="79" t="s">
        <v>22</v>
      </c>
      <c r="D9" s="104">
        <v>544397.18000000005</v>
      </c>
      <c r="E9" s="104">
        <v>399968.63</v>
      </c>
      <c r="F9" s="104">
        <f t="shared" si="1"/>
        <v>634750.21581000008</v>
      </c>
      <c r="G9" s="104">
        <v>327514.53000000003</v>
      </c>
      <c r="H9" s="252">
        <v>645540.96947877004</v>
      </c>
      <c r="I9" s="235">
        <v>327514.53000000003</v>
      </c>
      <c r="J9" s="84">
        <f>SALARIES!J183</f>
        <v>684273.42764749622</v>
      </c>
      <c r="K9" s="91"/>
      <c r="L9" s="165">
        <f t="shared" si="0"/>
        <v>599952.94500000007</v>
      </c>
    </row>
    <row r="10" spans="1:14">
      <c r="A10" s="79">
        <v>275</v>
      </c>
      <c r="B10" s="79">
        <v>11</v>
      </c>
      <c r="C10" s="79" t="s">
        <v>24</v>
      </c>
      <c r="D10" s="104"/>
      <c r="E10" s="104"/>
      <c r="F10" s="104">
        <v>0</v>
      </c>
      <c r="G10" s="104">
        <v>37353.160000000003</v>
      </c>
      <c r="H10" s="102">
        <v>60000</v>
      </c>
      <c r="I10" s="235">
        <v>37353.160000000003</v>
      </c>
      <c r="J10" s="84">
        <f>SALARIES!J184</f>
        <v>63600</v>
      </c>
      <c r="K10" s="91"/>
      <c r="L10" s="165"/>
    </row>
    <row r="11" spans="1:14">
      <c r="A11" s="79">
        <v>275</v>
      </c>
      <c r="B11" s="79">
        <v>13</v>
      </c>
      <c r="C11" s="79" t="s">
        <v>273</v>
      </c>
      <c r="D11" s="104">
        <v>46642.9</v>
      </c>
      <c r="E11" s="104">
        <v>34594.29</v>
      </c>
      <c r="F11" s="104">
        <f t="shared" si="1"/>
        <v>54901.138229999997</v>
      </c>
      <c r="G11" s="104">
        <v>27576.01</v>
      </c>
      <c r="H11" s="252">
        <v>55834.457579909998</v>
      </c>
      <c r="I11" s="235">
        <v>27567.01</v>
      </c>
      <c r="J11" s="84">
        <f>SALARIES!J185</f>
        <v>59184.525034704595</v>
      </c>
      <c r="K11" s="91"/>
      <c r="L11" s="165">
        <f t="shared" ref="L11:L17" si="2">+E11/8*12</f>
        <v>51891.434999999998</v>
      </c>
    </row>
    <row r="12" spans="1:14" s="233" customFormat="1">
      <c r="A12" s="251">
        <v>275</v>
      </c>
      <c r="B12" s="251">
        <v>14</v>
      </c>
      <c r="C12" s="251" t="s">
        <v>25</v>
      </c>
      <c r="D12" s="104">
        <v>106428</v>
      </c>
      <c r="E12" s="104">
        <v>78821</v>
      </c>
      <c r="F12" s="104">
        <v>238708.21</v>
      </c>
      <c r="G12" s="104">
        <v>106517.5</v>
      </c>
      <c r="H12" s="252">
        <v>242766.24651900001</v>
      </c>
      <c r="I12" s="235">
        <v>106517.5</v>
      </c>
      <c r="J12" s="84">
        <f>SALARIES!J186</f>
        <v>257332.22131014001</v>
      </c>
      <c r="K12" s="286"/>
      <c r="L12" s="247">
        <f t="shared" si="2"/>
        <v>118231.5</v>
      </c>
    </row>
    <row r="13" spans="1:14" s="233" customFormat="1">
      <c r="A13" s="251">
        <v>275</v>
      </c>
      <c r="B13" s="251">
        <v>16</v>
      </c>
      <c r="C13" s="251" t="s">
        <v>27</v>
      </c>
      <c r="D13" s="104">
        <v>38053.68</v>
      </c>
      <c r="E13" s="104">
        <v>27963.88</v>
      </c>
      <c r="F13" s="104">
        <f t="shared" si="1"/>
        <v>44378.677559999996</v>
      </c>
      <c r="G13" s="104">
        <v>22989.9</v>
      </c>
      <c r="H13" s="252">
        <v>45133.115078519993</v>
      </c>
      <c r="I13" s="235">
        <v>22989.9</v>
      </c>
      <c r="J13" s="84">
        <f>SALARIES!J187</f>
        <v>47841.101983231194</v>
      </c>
      <c r="K13" s="286"/>
      <c r="L13" s="247">
        <f t="shared" si="2"/>
        <v>41945.82</v>
      </c>
    </row>
    <row r="14" spans="1:14" s="233" customFormat="1">
      <c r="A14" s="251">
        <v>275</v>
      </c>
      <c r="B14" s="251">
        <v>17</v>
      </c>
      <c r="C14" s="251" t="s">
        <v>29</v>
      </c>
      <c r="D14" s="104">
        <v>40800.400000000001</v>
      </c>
      <c r="E14" s="104">
        <v>29162.2</v>
      </c>
      <c r="F14" s="104">
        <f t="shared" si="1"/>
        <v>46280.411400000005</v>
      </c>
      <c r="G14" s="104">
        <v>20024</v>
      </c>
      <c r="H14" s="252">
        <v>47067.178393800008</v>
      </c>
      <c r="I14" s="235">
        <v>20024</v>
      </c>
      <c r="J14" s="84">
        <f>SALARIES!J188</f>
        <v>49891.209097428007</v>
      </c>
      <c r="K14" s="286"/>
      <c r="L14" s="247">
        <f t="shared" si="2"/>
        <v>43743.3</v>
      </c>
    </row>
    <row r="15" spans="1:14" s="233" customFormat="1">
      <c r="A15" s="251">
        <v>275</v>
      </c>
      <c r="B15" s="251">
        <v>18</v>
      </c>
      <c r="C15" s="251" t="s">
        <v>31</v>
      </c>
      <c r="D15" s="104">
        <v>210070.92</v>
      </c>
      <c r="E15" s="104">
        <v>190859.63</v>
      </c>
      <c r="F15" s="104">
        <f t="shared" si="1"/>
        <v>302894.23281000002</v>
      </c>
      <c r="G15" s="104">
        <v>153970.31</v>
      </c>
      <c r="H15" s="252">
        <v>308043.43476777</v>
      </c>
      <c r="I15" s="235">
        <v>153970.31</v>
      </c>
      <c r="J15" s="84">
        <f>SALARIES!J189</f>
        <v>326526.04085383622</v>
      </c>
      <c r="K15" s="286"/>
      <c r="L15" s="247">
        <f t="shared" si="2"/>
        <v>286289.44500000001</v>
      </c>
    </row>
    <row r="16" spans="1:14" s="233" customFormat="1">
      <c r="A16" s="251">
        <v>275</v>
      </c>
      <c r="B16" s="251">
        <v>102</v>
      </c>
      <c r="C16" s="251" t="s">
        <v>66</v>
      </c>
      <c r="D16" s="104">
        <v>43927.96</v>
      </c>
      <c r="E16" s="104">
        <v>32495.93</v>
      </c>
      <c r="F16" s="104">
        <f t="shared" si="1"/>
        <v>51571.040910000003</v>
      </c>
      <c r="G16" s="104">
        <v>26969.77</v>
      </c>
      <c r="H16" s="252">
        <v>52447.748605470006</v>
      </c>
      <c r="I16" s="235">
        <v>26969.77</v>
      </c>
      <c r="J16" s="84">
        <f>SALARIES!J190</f>
        <v>55594.613521798208</v>
      </c>
      <c r="K16" s="286"/>
      <c r="L16" s="247">
        <f t="shared" si="2"/>
        <v>48743.895000000004</v>
      </c>
    </row>
    <row r="17" spans="1:13" s="233" customFormat="1">
      <c r="A17" s="251">
        <v>275</v>
      </c>
      <c r="B17" s="251">
        <v>104</v>
      </c>
      <c r="C17" s="251" t="s">
        <v>34</v>
      </c>
      <c r="D17" s="104">
        <v>2952.44</v>
      </c>
      <c r="E17" s="104">
        <v>2150.7800000000002</v>
      </c>
      <c r="F17" s="104">
        <f t="shared" si="1"/>
        <v>3413.2878599999999</v>
      </c>
      <c r="G17" s="104">
        <v>1701.15</v>
      </c>
      <c r="H17" s="252">
        <v>3471.3137536199997</v>
      </c>
      <c r="I17" s="235">
        <v>1701.15</v>
      </c>
      <c r="J17" s="84">
        <f>SALARIES!J191</f>
        <v>3679.5925788371997</v>
      </c>
      <c r="K17" s="286"/>
      <c r="L17" s="247">
        <f t="shared" si="2"/>
        <v>3226.17</v>
      </c>
    </row>
    <row r="18" spans="1:13">
      <c r="D18" s="105">
        <f t="shared" ref="D18:J18" si="3">SUM(D4:D17)</f>
        <v>5239206.9800000004</v>
      </c>
      <c r="E18" s="105">
        <f t="shared" si="3"/>
        <v>3872093.1399999997</v>
      </c>
      <c r="F18" s="105">
        <f t="shared" si="3"/>
        <v>6298631.0944399992</v>
      </c>
      <c r="G18" s="105">
        <f t="shared" si="3"/>
        <v>3199392.0999999996</v>
      </c>
      <c r="H18" s="105">
        <f t="shared" si="3"/>
        <v>6465707.8217640594</v>
      </c>
      <c r="I18" s="236">
        <f t="shared" si="3"/>
        <v>3199383.0999999996</v>
      </c>
      <c r="J18" s="74">
        <f t="shared" si="3"/>
        <v>6853650.2910699043</v>
      </c>
      <c r="K18" s="74"/>
      <c r="M18" s="38"/>
    </row>
    <row r="19" spans="1:13">
      <c r="D19" s="105"/>
      <c r="E19" s="105"/>
      <c r="F19" s="105"/>
      <c r="G19" s="105"/>
      <c r="H19" s="105"/>
      <c r="I19" s="236"/>
      <c r="J19" s="74"/>
      <c r="K19" s="74"/>
      <c r="M19" s="38"/>
    </row>
    <row r="20" spans="1:13">
      <c r="A20" s="71" t="s">
        <v>44</v>
      </c>
      <c r="D20" s="105"/>
      <c r="E20" s="105"/>
      <c r="F20" s="105"/>
      <c r="G20" s="105"/>
      <c r="H20" s="105"/>
      <c r="I20" s="236"/>
      <c r="J20" s="74"/>
      <c r="K20" s="74"/>
      <c r="M20" s="38"/>
    </row>
    <row r="21" spans="1:13">
      <c r="A21" s="79">
        <v>275</v>
      </c>
      <c r="B21" s="79">
        <v>210</v>
      </c>
      <c r="C21" s="79" t="s">
        <v>44</v>
      </c>
      <c r="D21" s="104">
        <v>47215892.200000003</v>
      </c>
      <c r="E21" s="104">
        <v>0</v>
      </c>
      <c r="F21" s="104">
        <f>'NON CASH'!G14</f>
        <v>39697368.424000002</v>
      </c>
      <c r="G21" s="104">
        <v>0</v>
      </c>
      <c r="H21" s="104">
        <f>'NON CASH'!H14</f>
        <v>41682236.845200002</v>
      </c>
      <c r="I21" s="235"/>
      <c r="J21" s="84">
        <f>'NON CASH'!I14</f>
        <v>42515881.582104005</v>
      </c>
      <c r="K21" s="91"/>
      <c r="L21" s="165">
        <f>+E21/8*12</f>
        <v>0</v>
      </c>
    </row>
    <row r="22" spans="1:13">
      <c r="A22" s="90"/>
      <c r="B22" s="90"/>
      <c r="C22" s="90"/>
      <c r="D22" s="106"/>
      <c r="E22" s="106"/>
      <c r="F22" s="107">
        <f>F21</f>
        <v>39697368.424000002</v>
      </c>
      <c r="G22" s="107">
        <f>G21</f>
        <v>0</v>
      </c>
      <c r="H22" s="107">
        <f>H21</f>
        <v>41682236.845200002</v>
      </c>
      <c r="I22" s="237">
        <f>I21</f>
        <v>0</v>
      </c>
      <c r="J22" s="92">
        <f>J21</f>
        <v>42515881.582104005</v>
      </c>
      <c r="K22" s="92"/>
    </row>
    <row r="23" spans="1:13" s="71" customFormat="1">
      <c r="A23" s="71" t="s">
        <v>927</v>
      </c>
      <c r="D23" s="108"/>
      <c r="E23" s="108"/>
      <c r="F23" s="108"/>
      <c r="G23" s="108"/>
      <c r="H23" s="108"/>
      <c r="I23" s="238"/>
      <c r="J23" s="70"/>
      <c r="K23" s="70"/>
      <c r="L23" s="70"/>
    </row>
    <row r="24" spans="1:13">
      <c r="A24" s="79">
        <v>275</v>
      </c>
      <c r="B24" s="79">
        <v>280</v>
      </c>
      <c r="C24" s="79" t="s">
        <v>469</v>
      </c>
      <c r="D24" s="104">
        <v>300000</v>
      </c>
      <c r="E24" s="104">
        <v>0</v>
      </c>
      <c r="F24" s="104">
        <v>0</v>
      </c>
      <c r="G24" s="104"/>
      <c r="H24" s="104">
        <f>RME!H19</f>
        <v>0</v>
      </c>
      <c r="I24" s="235">
        <v>0</v>
      </c>
      <c r="J24" s="84">
        <v>0</v>
      </c>
      <c r="K24" s="91">
        <f t="shared" ref="K24:K29" si="4">I24/7*12</f>
        <v>0</v>
      </c>
      <c r="L24" s="165">
        <f t="shared" ref="L24:L29" si="5">+E24/8*12</f>
        <v>0</v>
      </c>
    </row>
    <row r="25" spans="1:13">
      <c r="A25" s="79">
        <v>275</v>
      </c>
      <c r="B25" s="79">
        <v>284</v>
      </c>
      <c r="C25" s="79" t="s">
        <v>221</v>
      </c>
      <c r="D25" s="104">
        <v>318000</v>
      </c>
      <c r="E25" s="104">
        <v>410691.14</v>
      </c>
      <c r="F25" s="104">
        <v>630000</v>
      </c>
      <c r="G25" s="104">
        <v>153279</v>
      </c>
      <c r="H25" s="104">
        <f>RME!H20</f>
        <v>300000</v>
      </c>
      <c r="I25" s="235">
        <v>153534.70000000001</v>
      </c>
      <c r="J25" s="84">
        <v>400000</v>
      </c>
      <c r="K25" s="91">
        <f t="shared" si="4"/>
        <v>263202.34285714291</v>
      </c>
      <c r="L25" s="165">
        <f t="shared" si="5"/>
        <v>616036.71</v>
      </c>
    </row>
    <row r="26" spans="1:13">
      <c r="A26" s="79">
        <v>275</v>
      </c>
      <c r="B26" s="79">
        <v>285</v>
      </c>
      <c r="C26" s="79" t="s">
        <v>471</v>
      </c>
      <c r="D26" s="104">
        <v>1791000</v>
      </c>
      <c r="E26" s="104">
        <v>1145765.24</v>
      </c>
      <c r="F26" s="104">
        <v>1000000</v>
      </c>
      <c r="G26" s="104">
        <v>1056679.67</v>
      </c>
      <c r="H26" s="104">
        <f>RME!H21</f>
        <v>1400000</v>
      </c>
      <c r="I26" s="235">
        <v>1056679.67</v>
      </c>
      <c r="J26" s="84">
        <v>1200000</v>
      </c>
      <c r="K26" s="91">
        <f t="shared" si="4"/>
        <v>1811450.8628571425</v>
      </c>
      <c r="L26" s="165">
        <f t="shared" si="5"/>
        <v>1718647.8599999999</v>
      </c>
    </row>
    <row r="27" spans="1:13">
      <c r="A27" s="79">
        <v>275</v>
      </c>
      <c r="B27" s="79">
        <v>286</v>
      </c>
      <c r="C27" s="79" t="s">
        <v>473</v>
      </c>
      <c r="D27" s="104">
        <v>100000</v>
      </c>
      <c r="E27" s="104">
        <v>0</v>
      </c>
      <c r="F27" s="104">
        <v>50000</v>
      </c>
      <c r="G27" s="104">
        <v>0</v>
      </c>
      <c r="H27" s="104">
        <f>RME!H22</f>
        <v>50000</v>
      </c>
      <c r="I27" s="235">
        <v>0</v>
      </c>
      <c r="J27" s="84">
        <v>20000</v>
      </c>
      <c r="K27" s="91">
        <f t="shared" si="4"/>
        <v>0</v>
      </c>
      <c r="L27" s="165">
        <f t="shared" si="5"/>
        <v>0</v>
      </c>
    </row>
    <row r="28" spans="1:13">
      <c r="A28" s="79">
        <v>275</v>
      </c>
      <c r="B28" s="79">
        <v>293</v>
      </c>
      <c r="C28" s="79" t="s">
        <v>475</v>
      </c>
      <c r="D28" s="104">
        <v>387000</v>
      </c>
      <c r="E28" s="104">
        <v>63806</v>
      </c>
      <c r="F28" s="104">
        <v>250000</v>
      </c>
      <c r="G28" s="104">
        <v>0</v>
      </c>
      <c r="H28" s="104">
        <f>RME!H22</f>
        <v>50000</v>
      </c>
      <c r="I28" s="235">
        <v>0</v>
      </c>
      <c r="J28" s="302">
        <v>0</v>
      </c>
      <c r="K28" s="91">
        <f t="shared" si="4"/>
        <v>0</v>
      </c>
      <c r="L28" s="165">
        <f t="shared" si="5"/>
        <v>95709</v>
      </c>
    </row>
    <row r="29" spans="1:13">
      <c r="A29" s="79">
        <v>275</v>
      </c>
      <c r="B29" s="79">
        <v>295</v>
      </c>
      <c r="C29" s="79" t="s">
        <v>477</v>
      </c>
      <c r="D29" s="104">
        <v>500000</v>
      </c>
      <c r="E29" s="104">
        <v>110950</v>
      </c>
      <c r="F29" s="104">
        <v>500000</v>
      </c>
      <c r="G29" s="104">
        <v>0</v>
      </c>
      <c r="H29" s="104">
        <f>RME!H24</f>
        <v>500000</v>
      </c>
      <c r="I29" s="235">
        <v>0</v>
      </c>
      <c r="J29" s="84">
        <v>600000</v>
      </c>
      <c r="K29" s="91">
        <f t="shared" si="4"/>
        <v>0</v>
      </c>
      <c r="L29" s="165">
        <f t="shared" si="5"/>
        <v>166425</v>
      </c>
    </row>
    <row r="30" spans="1:13">
      <c r="D30" s="105">
        <f t="shared" ref="D30:J30" si="6">SUM(D24:D29)</f>
        <v>3396000</v>
      </c>
      <c r="E30" s="105">
        <f t="shared" si="6"/>
        <v>1731212.38</v>
      </c>
      <c r="F30" s="105">
        <f t="shared" si="6"/>
        <v>2430000</v>
      </c>
      <c r="G30" s="105">
        <f t="shared" si="6"/>
        <v>1209958.67</v>
      </c>
      <c r="H30" s="105">
        <f t="shared" si="6"/>
        <v>2300000</v>
      </c>
      <c r="I30" s="236">
        <f t="shared" si="6"/>
        <v>1210214.3699999999</v>
      </c>
      <c r="J30" s="74">
        <f t="shared" si="6"/>
        <v>2220000</v>
      </c>
      <c r="K30" s="74"/>
      <c r="M30" s="38"/>
    </row>
    <row r="31" spans="1:13">
      <c r="D31" s="105"/>
      <c r="E31" s="105"/>
      <c r="F31" s="105"/>
      <c r="G31" s="105"/>
      <c r="H31" s="105"/>
      <c r="I31" s="236"/>
      <c r="J31" s="74"/>
      <c r="K31" s="74"/>
      <c r="M31" s="38"/>
    </row>
    <row r="32" spans="1:13" s="71" customFormat="1">
      <c r="A32" s="71" t="s">
        <v>1034</v>
      </c>
      <c r="D32" s="105"/>
      <c r="E32" s="105"/>
      <c r="F32" s="105"/>
      <c r="G32" s="105"/>
      <c r="H32" s="105"/>
      <c r="I32" s="236"/>
      <c r="J32" s="74"/>
      <c r="K32" s="74"/>
      <c r="L32" s="70"/>
      <c r="M32" s="70"/>
    </row>
    <row r="33" spans="1:13">
      <c r="A33" s="79">
        <v>275</v>
      </c>
      <c r="B33" s="79">
        <v>290</v>
      </c>
      <c r="C33" s="79" t="s">
        <v>223</v>
      </c>
      <c r="D33" s="104">
        <v>0</v>
      </c>
      <c r="E33" s="104">
        <v>342000</v>
      </c>
      <c r="F33" s="104">
        <v>513000</v>
      </c>
      <c r="G33" s="104">
        <v>435850</v>
      </c>
      <c r="H33" s="104">
        <f>'CONTRACTED SERVICES'!H11</f>
        <v>871700</v>
      </c>
      <c r="I33" s="235">
        <v>435850</v>
      </c>
      <c r="J33" s="84">
        <v>900000</v>
      </c>
      <c r="K33" s="91">
        <f>I33/7*12</f>
        <v>747171.42857142864</v>
      </c>
      <c r="L33" s="165">
        <f>+E33/8*12</f>
        <v>513000</v>
      </c>
    </row>
    <row r="34" spans="1:13">
      <c r="D34" s="105"/>
      <c r="E34" s="105"/>
      <c r="F34" s="105">
        <f>F33</f>
        <v>513000</v>
      </c>
      <c r="G34" s="105">
        <f>G33</f>
        <v>435850</v>
      </c>
      <c r="H34" s="105">
        <f>H33</f>
        <v>871700</v>
      </c>
      <c r="I34" s="236">
        <f>I33</f>
        <v>435850</v>
      </c>
      <c r="J34" s="74">
        <f>J33</f>
        <v>900000</v>
      </c>
      <c r="K34" s="74"/>
      <c r="M34" s="38"/>
    </row>
    <row r="35" spans="1:13" s="71" customFormat="1">
      <c r="A35" s="71" t="s">
        <v>924</v>
      </c>
      <c r="D35" s="108"/>
      <c r="E35" s="108"/>
      <c r="F35" s="108"/>
      <c r="G35" s="108"/>
      <c r="H35" s="108"/>
      <c r="I35" s="238"/>
      <c r="J35" s="70"/>
      <c r="K35" s="70"/>
      <c r="L35" s="70"/>
    </row>
    <row r="36" spans="1:13">
      <c r="A36" s="79">
        <v>275</v>
      </c>
      <c r="B36" s="79">
        <v>123</v>
      </c>
      <c r="C36" s="79" t="s">
        <v>187</v>
      </c>
      <c r="D36" s="104">
        <v>652000</v>
      </c>
      <c r="E36" s="104">
        <v>424715.98</v>
      </c>
      <c r="F36" s="104">
        <v>200000</v>
      </c>
      <c r="G36" s="104">
        <v>13758.92</v>
      </c>
      <c r="H36" s="104">
        <v>90000</v>
      </c>
      <c r="I36" s="235">
        <v>60070.92</v>
      </c>
      <c r="J36" s="84">
        <v>120000</v>
      </c>
      <c r="K36" s="91">
        <f>I36/7*12</f>
        <v>102978.72</v>
      </c>
      <c r="L36" s="165">
        <f t="shared" ref="L36:L42" si="7">+E36/8*12</f>
        <v>637073.97</v>
      </c>
    </row>
    <row r="37" spans="1:13">
      <c r="A37" s="79">
        <v>275</v>
      </c>
      <c r="B37" s="79">
        <v>175</v>
      </c>
      <c r="C37" s="79" t="s">
        <v>195</v>
      </c>
      <c r="D37" s="104">
        <v>105000</v>
      </c>
      <c r="E37" s="104">
        <v>34872.370000000003</v>
      </c>
      <c r="F37" s="104">
        <v>50000</v>
      </c>
      <c r="G37" s="104">
        <v>59352.88</v>
      </c>
      <c r="H37" s="104">
        <v>100000</v>
      </c>
      <c r="I37" s="235">
        <v>59352.88</v>
      </c>
      <c r="J37" s="84">
        <v>120000</v>
      </c>
      <c r="K37" s="91">
        <f t="shared" ref="K37:K42" si="8">I37/7*12</f>
        <v>101747.79428571428</v>
      </c>
      <c r="L37" s="165">
        <f t="shared" si="7"/>
        <v>52308.555000000008</v>
      </c>
    </row>
    <row r="38" spans="1:13">
      <c r="A38" s="79">
        <v>275</v>
      </c>
      <c r="B38" s="79">
        <v>193</v>
      </c>
      <c r="C38" s="79" t="s">
        <v>255</v>
      </c>
      <c r="D38" s="104">
        <v>1502713</v>
      </c>
      <c r="E38" s="104">
        <v>12471.45</v>
      </c>
      <c r="F38" s="104">
        <v>100000</v>
      </c>
      <c r="G38" s="104">
        <v>0</v>
      </c>
      <c r="H38" s="104">
        <v>100000</v>
      </c>
      <c r="I38" s="235">
        <v>0</v>
      </c>
      <c r="J38" s="84">
        <v>100000</v>
      </c>
      <c r="K38" s="91">
        <f t="shared" si="8"/>
        <v>0</v>
      </c>
      <c r="L38" s="165">
        <f t="shared" si="7"/>
        <v>18707.175000000003</v>
      </c>
    </row>
    <row r="39" spans="1:13">
      <c r="A39" s="79">
        <v>275</v>
      </c>
      <c r="B39" s="79">
        <v>195</v>
      </c>
      <c r="C39" s="79" t="s">
        <v>38</v>
      </c>
      <c r="D39" s="104">
        <v>40000</v>
      </c>
      <c r="E39" s="104">
        <v>2302.12</v>
      </c>
      <c r="F39" s="104">
        <v>10000</v>
      </c>
      <c r="G39" s="104">
        <v>21248.62</v>
      </c>
      <c r="H39" s="104">
        <v>50000</v>
      </c>
      <c r="I39" s="235">
        <v>21248.62</v>
      </c>
      <c r="J39" s="84">
        <v>60000</v>
      </c>
      <c r="K39" s="91">
        <f t="shared" si="8"/>
        <v>36426.205714285708</v>
      </c>
      <c r="L39" s="165">
        <f t="shared" si="7"/>
        <v>3453.18</v>
      </c>
    </row>
    <row r="40" spans="1:13">
      <c r="A40" s="79">
        <v>275</v>
      </c>
      <c r="B40" s="79">
        <v>204</v>
      </c>
      <c r="C40" s="79" t="s">
        <v>42</v>
      </c>
      <c r="D40" s="104">
        <v>20000</v>
      </c>
      <c r="E40" s="104">
        <v>29019.77</v>
      </c>
      <c r="F40" s="104">
        <v>10000</v>
      </c>
      <c r="G40" s="104">
        <v>11089.09</v>
      </c>
      <c r="H40" s="104">
        <v>22000</v>
      </c>
      <c r="I40" s="235">
        <v>11089.09</v>
      </c>
      <c r="J40" s="84">
        <v>22000</v>
      </c>
      <c r="K40" s="91">
        <f t="shared" si="8"/>
        <v>19009.868571428571</v>
      </c>
      <c r="L40" s="165">
        <f t="shared" si="7"/>
        <v>43529.654999999999</v>
      </c>
    </row>
    <row r="41" spans="1:13">
      <c r="A41" s="101">
        <v>275</v>
      </c>
      <c r="B41" s="101">
        <v>240</v>
      </c>
      <c r="C41" s="101" t="s">
        <v>466</v>
      </c>
      <c r="D41" s="144">
        <v>689200</v>
      </c>
      <c r="E41" s="144">
        <v>189200</v>
      </c>
      <c r="F41" s="144">
        <v>200000</v>
      </c>
      <c r="G41" s="104">
        <v>0</v>
      </c>
      <c r="H41" s="104">
        <v>0</v>
      </c>
      <c r="I41" s="235">
        <v>0</v>
      </c>
      <c r="J41" s="84">
        <v>0</v>
      </c>
      <c r="K41" s="91">
        <f t="shared" si="8"/>
        <v>0</v>
      </c>
      <c r="L41" s="165">
        <f t="shared" si="7"/>
        <v>283800</v>
      </c>
    </row>
    <row r="42" spans="1:13">
      <c r="A42" s="79">
        <v>275</v>
      </c>
      <c r="B42" s="79">
        <v>243</v>
      </c>
      <c r="C42" s="79" t="s">
        <v>408</v>
      </c>
      <c r="D42" s="104">
        <v>13000</v>
      </c>
      <c r="E42" s="104">
        <v>2485.52</v>
      </c>
      <c r="F42" s="104">
        <v>3000</v>
      </c>
      <c r="G42" s="104">
        <v>0</v>
      </c>
      <c r="H42" s="104">
        <v>0</v>
      </c>
      <c r="I42" s="235">
        <v>0</v>
      </c>
      <c r="J42" s="84">
        <v>5000</v>
      </c>
      <c r="K42" s="91">
        <f t="shared" si="8"/>
        <v>0</v>
      </c>
      <c r="L42" s="167">
        <f t="shared" si="7"/>
        <v>3728.2799999999997</v>
      </c>
    </row>
    <row r="43" spans="1:13">
      <c r="A43" s="79">
        <v>275</v>
      </c>
      <c r="B43" s="79">
        <v>262</v>
      </c>
      <c r="C43" s="79" t="s">
        <v>212</v>
      </c>
      <c r="D43" s="104"/>
      <c r="E43" s="104"/>
      <c r="F43" s="104">
        <v>0</v>
      </c>
      <c r="G43" s="104">
        <v>177.84</v>
      </c>
      <c r="H43" s="104">
        <v>0</v>
      </c>
      <c r="I43" s="235">
        <v>300.95999999999998</v>
      </c>
      <c r="J43" s="84">
        <v>0</v>
      </c>
      <c r="K43" s="91"/>
      <c r="L43" s="91"/>
    </row>
    <row r="44" spans="1:13">
      <c r="A44" s="90"/>
      <c r="B44" s="90"/>
      <c r="C44" s="337" t="s">
        <v>577</v>
      </c>
      <c r="D44" s="338"/>
      <c r="E44" s="338"/>
      <c r="F44" s="338"/>
      <c r="G44" s="338"/>
      <c r="H44" s="338"/>
      <c r="I44" s="338"/>
      <c r="J44" s="338">
        <v>2200462.9700000002</v>
      </c>
      <c r="K44" s="91"/>
      <c r="L44" s="91"/>
    </row>
    <row r="45" spans="1:13">
      <c r="D45" s="105">
        <f>SUM(D36:D42)</f>
        <v>3021913</v>
      </c>
      <c r="E45" s="105">
        <f>SUM(E36:E42)</f>
        <v>695067.21</v>
      </c>
      <c r="F45" s="105">
        <f>SUM(F36:F43)</f>
        <v>573000</v>
      </c>
      <c r="G45" s="105">
        <f>SUM(G36:G43)</f>
        <v>105627.34999999999</v>
      </c>
      <c r="H45" s="105">
        <f>SUM(H36:H43)</f>
        <v>362000</v>
      </c>
      <c r="I45" s="236">
        <f>SUM(I36:I43)</f>
        <v>152062.46999999997</v>
      </c>
      <c r="J45" s="74">
        <f>SUM(J36:J44)</f>
        <v>2627462.9700000002</v>
      </c>
      <c r="K45" s="74"/>
      <c r="M45" s="38"/>
    </row>
    <row r="46" spans="1:13" s="71" customFormat="1">
      <c r="A46" s="71" t="s">
        <v>928</v>
      </c>
      <c r="D46" s="108"/>
      <c r="E46" s="108"/>
      <c r="F46" s="108"/>
      <c r="G46" s="108"/>
      <c r="H46" s="108"/>
      <c r="I46" s="238"/>
      <c r="J46" s="70"/>
      <c r="K46" s="70"/>
      <c r="L46" s="70"/>
    </row>
    <row r="47" spans="1:13">
      <c r="A47" s="79">
        <v>275</v>
      </c>
      <c r="B47" s="79">
        <v>244</v>
      </c>
      <c r="C47" s="79" t="s">
        <v>468</v>
      </c>
      <c r="D47" s="104">
        <v>1328600</v>
      </c>
      <c r="E47" s="104">
        <v>117810.6</v>
      </c>
      <c r="F47" s="104">
        <v>1231650</v>
      </c>
      <c r="G47" s="104">
        <v>63128.21</v>
      </c>
      <c r="H47" s="104">
        <f>CAPITAL!F13</f>
        <v>1231650</v>
      </c>
      <c r="I47" s="235">
        <v>65404.71</v>
      </c>
      <c r="J47" s="84">
        <f>CAPITAL!G12+CAPITAL!G13</f>
        <v>1210900</v>
      </c>
      <c r="K47" s="91"/>
    </row>
    <row r="48" spans="1:13">
      <c r="A48" s="79">
        <v>275</v>
      </c>
      <c r="B48" s="79">
        <v>348</v>
      </c>
      <c r="C48" s="79" t="s">
        <v>479</v>
      </c>
      <c r="D48" s="104">
        <v>840241.41</v>
      </c>
      <c r="E48" s="104">
        <v>456140.35</v>
      </c>
      <c r="F48" s="104">
        <v>0</v>
      </c>
      <c r="G48" s="104"/>
      <c r="H48" s="104"/>
      <c r="I48" s="235"/>
      <c r="J48" s="84"/>
      <c r="K48" s="91"/>
    </row>
    <row r="49" spans="1:16">
      <c r="A49" s="79">
        <v>275</v>
      </c>
      <c r="B49" s="79">
        <v>350</v>
      </c>
      <c r="C49" s="79" t="s">
        <v>481</v>
      </c>
      <c r="D49" s="104">
        <v>531965.06999999995</v>
      </c>
      <c r="E49" s="104">
        <v>444546.04</v>
      </c>
      <c r="F49" s="104">
        <v>0</v>
      </c>
      <c r="G49" s="104"/>
      <c r="H49" s="104"/>
      <c r="I49" s="235"/>
      <c r="J49" s="84">
        <f>CAPITAL!G14</f>
        <v>964112.96931499999</v>
      </c>
      <c r="K49" s="91"/>
    </row>
    <row r="50" spans="1:16">
      <c r="A50" s="79">
        <v>275</v>
      </c>
      <c r="B50" s="79">
        <v>352</v>
      </c>
      <c r="C50" s="79" t="s">
        <v>482</v>
      </c>
      <c r="D50" s="104">
        <v>0</v>
      </c>
      <c r="E50" s="104">
        <v>4032607.98</v>
      </c>
      <c r="F50" s="104">
        <v>11077614.310000001</v>
      </c>
      <c r="G50" s="104">
        <v>6395090.2400000002</v>
      </c>
      <c r="H50" s="104">
        <f>CAPITAL!F16</f>
        <v>10441129.9</v>
      </c>
      <c r="I50" s="235">
        <v>6395090.2400000002</v>
      </c>
      <c r="J50" s="84">
        <f>CAPITAL!G16</f>
        <v>1273020.2776010002</v>
      </c>
      <c r="K50" s="91"/>
    </row>
    <row r="51" spans="1:16">
      <c r="A51" s="79">
        <v>275</v>
      </c>
      <c r="B51" s="79">
        <v>458</v>
      </c>
      <c r="C51" s="79" t="s">
        <v>483</v>
      </c>
      <c r="D51" s="104">
        <v>9345618.9399999995</v>
      </c>
      <c r="E51" s="104">
        <v>0</v>
      </c>
      <c r="F51" s="104">
        <v>0</v>
      </c>
      <c r="G51" s="104"/>
      <c r="H51" s="104"/>
      <c r="I51" s="235"/>
      <c r="J51" s="84"/>
      <c r="K51" s="91"/>
    </row>
    <row r="52" spans="1:16">
      <c r="A52" s="79">
        <v>275</v>
      </c>
      <c r="B52" s="79">
        <v>461</v>
      </c>
      <c r="C52" s="79" t="s">
        <v>484</v>
      </c>
      <c r="D52" s="104">
        <v>600000</v>
      </c>
      <c r="E52" s="104">
        <v>253255.14</v>
      </c>
      <c r="F52" s="104">
        <v>0</v>
      </c>
      <c r="G52" s="104"/>
      <c r="H52" s="104"/>
      <c r="I52" s="235"/>
      <c r="J52" s="84"/>
      <c r="K52" s="91"/>
    </row>
    <row r="53" spans="1:16" ht="16.5">
      <c r="A53" s="90"/>
      <c r="B53" s="90"/>
      <c r="C53" s="335" t="s">
        <v>1130</v>
      </c>
      <c r="D53" s="104">
        <v>0</v>
      </c>
      <c r="E53" s="104"/>
      <c r="F53" s="104">
        <v>0</v>
      </c>
      <c r="G53" s="104"/>
      <c r="H53" s="104">
        <v>0</v>
      </c>
      <c r="I53" s="235">
        <v>0</v>
      </c>
      <c r="J53" s="84">
        <f>CAPITAL!G18</f>
        <v>1471153.5130840004</v>
      </c>
      <c r="K53" s="91"/>
    </row>
    <row r="54" spans="1:16" ht="15.75" thickBot="1">
      <c r="D54" s="105">
        <f t="shared" ref="D54:I54" si="9">SUM(D47:D53)</f>
        <v>12646425.42</v>
      </c>
      <c r="E54" s="105">
        <f t="shared" si="9"/>
        <v>5304360.1099999994</v>
      </c>
      <c r="F54" s="105">
        <f t="shared" si="9"/>
        <v>12309264.310000001</v>
      </c>
      <c r="G54" s="105">
        <f t="shared" si="9"/>
        <v>6458218.4500000002</v>
      </c>
      <c r="H54" s="105">
        <f t="shared" si="9"/>
        <v>11672779.9</v>
      </c>
      <c r="I54" s="236">
        <f t="shared" si="9"/>
        <v>6460494.9500000002</v>
      </c>
      <c r="J54" s="74">
        <f>SUM(J47:J53)</f>
        <v>4919186.76</v>
      </c>
      <c r="K54" s="74"/>
    </row>
    <row r="55" spans="1:16" s="71" customFormat="1" ht="15.75" thickBot="1">
      <c r="A55" s="71" t="s">
        <v>923</v>
      </c>
      <c r="D55" s="108"/>
      <c r="E55" s="108"/>
      <c r="F55" s="108"/>
      <c r="G55" s="108"/>
      <c r="H55" s="108"/>
      <c r="I55" s="238"/>
      <c r="J55" s="70"/>
      <c r="K55" s="70"/>
      <c r="L55" s="70"/>
      <c r="M55" s="61" t="s">
        <v>916</v>
      </c>
      <c r="N55" s="221" t="s">
        <v>1105</v>
      </c>
      <c r="O55" s="59" t="s">
        <v>1103</v>
      </c>
      <c r="P55" s="59" t="s">
        <v>1117</v>
      </c>
    </row>
    <row r="56" spans="1:16" s="71" customFormat="1">
      <c r="A56" s="86">
        <v>275</v>
      </c>
      <c r="B56" s="86">
        <v>8875</v>
      </c>
      <c r="C56" s="86" t="s">
        <v>121</v>
      </c>
      <c r="D56" s="110"/>
      <c r="E56" s="110"/>
      <c r="F56" s="110">
        <f>GRANTS!G26</f>
        <v>-10800989</v>
      </c>
      <c r="G56" s="110">
        <v>0</v>
      </c>
      <c r="H56" s="110">
        <f>GRANTS!H26</f>
        <v>-10800989</v>
      </c>
      <c r="I56" s="242"/>
      <c r="J56" s="87">
        <f>GRANTS!I26</f>
        <v>-10800989</v>
      </c>
      <c r="K56" s="73"/>
      <c r="L56" s="70"/>
      <c r="M56" s="73"/>
      <c r="N56" s="73"/>
      <c r="O56" s="35"/>
      <c r="P56" s="70"/>
    </row>
    <row r="57" spans="1:16">
      <c r="A57" s="79">
        <v>275</v>
      </c>
      <c r="B57" s="79">
        <v>8822</v>
      </c>
      <c r="C57" s="79" t="s">
        <v>486</v>
      </c>
      <c r="D57" s="104">
        <v>0</v>
      </c>
      <c r="E57" s="104">
        <v>-964.92</v>
      </c>
      <c r="F57" s="104">
        <v>0</v>
      </c>
      <c r="G57" s="104"/>
      <c r="H57" s="104">
        <f>0</f>
        <v>0</v>
      </c>
      <c r="I57" s="235"/>
      <c r="J57" s="84"/>
      <c r="K57" s="91"/>
      <c r="L57" s="70" t="s">
        <v>972</v>
      </c>
      <c r="M57" s="38">
        <f>D18+D45+D30</f>
        <v>11657119.98</v>
      </c>
      <c r="N57" s="38">
        <f>F18+F22+F30+F34+F45</f>
        <v>49511999.518440001</v>
      </c>
      <c r="O57" s="38">
        <f>H18+H22+H30+H34+H45+8830478</f>
        <v>60512122.666964062</v>
      </c>
      <c r="P57" s="38">
        <f>J18+J22+J30+J34+J45</f>
        <v>55116994.843173906</v>
      </c>
    </row>
    <row r="58" spans="1:16">
      <c r="A58" s="79">
        <v>275</v>
      </c>
      <c r="B58" s="79">
        <v>8877</v>
      </c>
      <c r="C58" s="79" t="s">
        <v>147</v>
      </c>
      <c r="D58" s="104">
        <v>-10717825.42</v>
      </c>
      <c r="E58" s="104">
        <v>0</v>
      </c>
      <c r="F58" s="104">
        <f>GRANTS!G27</f>
        <v>-12309264.309999999</v>
      </c>
      <c r="G58" s="104">
        <v>0</v>
      </c>
      <c r="H58" s="104">
        <f>GRANTS!H27</f>
        <v>-12309264.309999999</v>
      </c>
      <c r="I58" s="235"/>
      <c r="J58" s="84">
        <f>GRANTS!I27</f>
        <v>-4919186.76</v>
      </c>
      <c r="K58" s="91"/>
      <c r="L58" s="70" t="s">
        <v>973</v>
      </c>
      <c r="M58" s="38">
        <f>D59-D58</f>
        <v>0</v>
      </c>
      <c r="N58" s="38">
        <f>F57+F56</f>
        <v>-10800989</v>
      </c>
      <c r="O58" s="38">
        <f>H59-H58+-1106000</f>
        <v>-11906989</v>
      </c>
      <c r="P58" s="38">
        <f>J59-J58</f>
        <v>-10800989</v>
      </c>
    </row>
    <row r="59" spans="1:16" ht="15.75" thickBot="1">
      <c r="D59" s="105">
        <f>SUM(D57:D58)</f>
        <v>-10717825.42</v>
      </c>
      <c r="E59" s="105">
        <f>SUM(E57:E58)</f>
        <v>-964.92</v>
      </c>
      <c r="F59" s="105">
        <f>SUM(F56:F58)</f>
        <v>-23110253.309999999</v>
      </c>
      <c r="G59" s="105">
        <f>SUM(G56:G58)</f>
        <v>0</v>
      </c>
      <c r="H59" s="105">
        <f>SUM(H56:H58)</f>
        <v>-23110253.309999999</v>
      </c>
      <c r="I59" s="236">
        <f>SUM(I56:I58)</f>
        <v>0</v>
      </c>
      <c r="J59" s="74">
        <f>SUM(J56:J58)</f>
        <v>-15720175.76</v>
      </c>
      <c r="K59" s="74"/>
      <c r="M59" s="75">
        <f>M57+M58</f>
        <v>11657119.98</v>
      </c>
      <c r="N59" s="75">
        <f>N57+N58</f>
        <v>38711010.518440001</v>
      </c>
      <c r="O59" s="75">
        <f>O57+O58</f>
        <v>48605133.666964062</v>
      </c>
      <c r="P59" s="75">
        <f>P57+P58</f>
        <v>44316005.843173906</v>
      </c>
    </row>
    <row r="60" spans="1:16" ht="15.75" thickTop="1">
      <c r="D60" s="102"/>
      <c r="E60" s="102"/>
      <c r="F60" s="102"/>
      <c r="G60" s="102"/>
      <c r="H60" s="102"/>
      <c r="I60" s="239"/>
    </row>
    <row r="61" spans="1:16" s="71" customFormat="1">
      <c r="A61" s="71" t="s">
        <v>921</v>
      </c>
      <c r="D61" s="108"/>
      <c r="E61" s="108"/>
      <c r="F61" s="108"/>
      <c r="G61" s="108"/>
      <c r="H61" s="108"/>
      <c r="I61" s="238"/>
      <c r="J61" s="70"/>
      <c r="K61" s="70"/>
      <c r="L61" s="70"/>
    </row>
    <row r="62" spans="1:16">
      <c r="A62" s="79">
        <v>290</v>
      </c>
      <c r="B62" s="79">
        <v>1</v>
      </c>
      <c r="C62" s="79" t="s">
        <v>16</v>
      </c>
      <c r="D62" s="104">
        <v>1894556.12</v>
      </c>
      <c r="E62" s="104">
        <v>1357881.86</v>
      </c>
      <c r="F62" s="104">
        <f>L62*5.8/100+L62</f>
        <v>2154958.5118200001</v>
      </c>
      <c r="G62" s="104">
        <v>974808.5</v>
      </c>
      <c r="H62" s="104">
        <v>2187282.8894973001</v>
      </c>
      <c r="I62" s="235">
        <v>968793.97</v>
      </c>
      <c r="J62" s="84">
        <f>SALARIES!J208</f>
        <v>2318519.8628671383</v>
      </c>
      <c r="K62" s="91"/>
      <c r="L62" s="165">
        <f t="shared" ref="L62:L75" si="10">+E62/8*12</f>
        <v>2036822.79</v>
      </c>
    </row>
    <row r="63" spans="1:16">
      <c r="A63" s="79">
        <v>290</v>
      </c>
      <c r="B63" s="79">
        <v>3</v>
      </c>
      <c r="C63" s="79" t="s">
        <v>56</v>
      </c>
      <c r="D63" s="104">
        <v>13104.06</v>
      </c>
      <c r="E63" s="104">
        <v>9232.0300000000007</v>
      </c>
      <c r="F63" s="104">
        <v>34651.230000000003</v>
      </c>
      <c r="G63" s="104">
        <v>7630</v>
      </c>
      <c r="H63" s="104">
        <v>35171.00008415</v>
      </c>
      <c r="I63" s="235">
        <v>7630</v>
      </c>
      <c r="J63" s="84">
        <f>SALARIES!J209</f>
        <v>37281.260089199001</v>
      </c>
      <c r="K63" s="91"/>
      <c r="L63" s="165">
        <f t="shared" si="10"/>
        <v>13848.045000000002</v>
      </c>
    </row>
    <row r="64" spans="1:16">
      <c r="A64" s="79">
        <v>290</v>
      </c>
      <c r="B64" s="79">
        <v>4</v>
      </c>
      <c r="C64" s="79" t="s">
        <v>58</v>
      </c>
      <c r="D64" s="104">
        <v>7206.58</v>
      </c>
      <c r="E64" s="104">
        <v>4953.6499999999996</v>
      </c>
      <c r="F64" s="104">
        <f t="shared" ref="F64:F75" si="11">L64*5.8/100+L64</f>
        <v>7861.4425499999998</v>
      </c>
      <c r="G64" s="104">
        <v>3540.18</v>
      </c>
      <c r="H64" s="104">
        <v>7979.3641882499996</v>
      </c>
      <c r="I64" s="235">
        <v>3540.18</v>
      </c>
      <c r="J64" s="84">
        <f>SALARIES!J210</f>
        <v>8458.126039544999</v>
      </c>
      <c r="K64" s="91"/>
      <c r="L64" s="165">
        <f t="shared" si="10"/>
        <v>7430.4749999999995</v>
      </c>
    </row>
    <row r="65" spans="1:13">
      <c r="A65" s="79">
        <v>290</v>
      </c>
      <c r="B65" s="79">
        <v>6</v>
      </c>
      <c r="C65" s="79" t="s">
        <v>19</v>
      </c>
      <c r="D65" s="104">
        <v>159970.82</v>
      </c>
      <c r="E65" s="104">
        <v>107579.18</v>
      </c>
      <c r="F65" s="104">
        <f t="shared" si="11"/>
        <v>170728.15865999999</v>
      </c>
      <c r="G65" s="104">
        <v>66819.199999999997</v>
      </c>
      <c r="H65" s="104">
        <v>173289.08103989999</v>
      </c>
      <c r="I65" s="235">
        <v>66819.199999999997</v>
      </c>
      <c r="J65" s="84">
        <f>SALARIES!J211</f>
        <v>183686.425902294</v>
      </c>
      <c r="K65" s="91"/>
      <c r="L65" s="165">
        <f t="shared" si="10"/>
        <v>161368.76999999999</v>
      </c>
    </row>
    <row r="66" spans="1:13">
      <c r="A66" s="79">
        <v>290</v>
      </c>
      <c r="B66" s="79">
        <v>8</v>
      </c>
      <c r="C66" s="79" t="s">
        <v>173</v>
      </c>
      <c r="D66" s="104">
        <v>408222.94</v>
      </c>
      <c r="E66" s="104">
        <v>288798.02</v>
      </c>
      <c r="F66" s="104">
        <v>250631.84</v>
      </c>
      <c r="G66" s="104">
        <v>179852.29</v>
      </c>
      <c r="H66" s="104">
        <v>254391.31530610003</v>
      </c>
      <c r="I66" s="235">
        <v>179852.29</v>
      </c>
      <c r="J66" s="84">
        <f>SALARIES!J212</f>
        <v>269654.79422446602</v>
      </c>
      <c r="K66" s="91"/>
      <c r="L66" s="165">
        <f t="shared" si="10"/>
        <v>433197.03</v>
      </c>
    </row>
    <row r="67" spans="1:13" s="233" customFormat="1">
      <c r="A67" s="251">
        <v>290</v>
      </c>
      <c r="B67" s="251">
        <v>10</v>
      </c>
      <c r="C67" s="251" t="s">
        <v>22</v>
      </c>
      <c r="D67" s="104">
        <v>347972.68</v>
      </c>
      <c r="E67" s="104">
        <v>243600.82</v>
      </c>
      <c r="F67" s="104">
        <v>686594.5</v>
      </c>
      <c r="G67" s="104">
        <v>167788.62</v>
      </c>
      <c r="H67" s="104">
        <v>696893.41886009998</v>
      </c>
      <c r="I67" s="235">
        <v>167788.62</v>
      </c>
      <c r="J67" s="84">
        <f>SALARIES!J213</f>
        <v>738707.02399170597</v>
      </c>
      <c r="K67" s="286"/>
      <c r="L67" s="247">
        <f t="shared" si="10"/>
        <v>365401.23</v>
      </c>
    </row>
    <row r="68" spans="1:13">
      <c r="A68" s="79">
        <v>290</v>
      </c>
      <c r="B68" s="79">
        <v>11</v>
      </c>
      <c r="C68" s="79" t="s">
        <v>24</v>
      </c>
      <c r="D68" s="104">
        <v>0</v>
      </c>
      <c r="E68" s="104">
        <v>26146.75</v>
      </c>
      <c r="F68" s="104">
        <f t="shared" si="11"/>
        <v>41494.892249999997</v>
      </c>
      <c r="G68" s="104">
        <v>15688.05</v>
      </c>
      <c r="H68" s="104">
        <v>42117.315633749997</v>
      </c>
      <c r="I68" s="235">
        <v>15688.05</v>
      </c>
      <c r="J68" s="84">
        <f>SALARIES!J214</f>
        <v>44644.354571774995</v>
      </c>
      <c r="K68" s="91"/>
      <c r="L68" s="165">
        <f t="shared" si="10"/>
        <v>39220.125</v>
      </c>
    </row>
    <row r="69" spans="1:13">
      <c r="A69" s="79">
        <v>290</v>
      </c>
      <c r="B69" s="79">
        <v>13</v>
      </c>
      <c r="C69" s="79" t="s">
        <v>273</v>
      </c>
      <c r="D69" s="104">
        <v>175844</v>
      </c>
      <c r="E69" s="104">
        <v>123409.59</v>
      </c>
      <c r="F69" s="104">
        <f t="shared" si="11"/>
        <v>195851.01933000001</v>
      </c>
      <c r="G69" s="104">
        <v>99500.65</v>
      </c>
      <c r="H69" s="104">
        <v>198788.78461995002</v>
      </c>
      <c r="I69" s="235">
        <v>99500.65</v>
      </c>
      <c r="J69" s="84">
        <f>SALARIES!J215</f>
        <v>210716.11169714702</v>
      </c>
      <c r="K69" s="91"/>
      <c r="L69" s="165">
        <f t="shared" si="10"/>
        <v>185114.38500000001</v>
      </c>
    </row>
    <row r="70" spans="1:13">
      <c r="A70" s="79">
        <v>290</v>
      </c>
      <c r="B70" s="79">
        <v>14</v>
      </c>
      <c r="C70" s="79" t="s">
        <v>25</v>
      </c>
      <c r="D70" s="104">
        <v>187322.5</v>
      </c>
      <c r="E70" s="104">
        <v>127824.25</v>
      </c>
      <c r="F70" s="104">
        <v>402857.08</v>
      </c>
      <c r="G70" s="104">
        <v>85407.5</v>
      </c>
      <c r="H70" s="104">
        <v>408899.94102125004</v>
      </c>
      <c r="I70" s="235">
        <v>85407.5</v>
      </c>
      <c r="J70" s="84">
        <f>SALARIES!J216</f>
        <v>433433.93748252501</v>
      </c>
      <c r="K70" s="91"/>
      <c r="L70" s="165">
        <f t="shared" si="10"/>
        <v>191736.375</v>
      </c>
    </row>
    <row r="71" spans="1:13">
      <c r="A71" s="79">
        <v>290</v>
      </c>
      <c r="B71" s="79">
        <v>16</v>
      </c>
      <c r="C71" s="79" t="s">
        <v>27</v>
      </c>
      <c r="D71" s="104">
        <v>22554.84</v>
      </c>
      <c r="E71" s="104">
        <v>15750.95</v>
      </c>
      <c r="F71" s="104">
        <f t="shared" si="11"/>
        <v>24996.757650000003</v>
      </c>
      <c r="G71" s="104">
        <v>10711.42</v>
      </c>
      <c r="H71" s="104">
        <v>25371.709014750002</v>
      </c>
      <c r="I71" s="235">
        <v>10711.42</v>
      </c>
      <c r="J71" s="84">
        <f>SALARIES!J217</f>
        <v>26894.011555635003</v>
      </c>
      <c r="K71" s="91"/>
      <c r="L71" s="165">
        <f t="shared" si="10"/>
        <v>23626.425000000003</v>
      </c>
    </row>
    <row r="72" spans="1:13">
      <c r="A72" s="79">
        <v>290</v>
      </c>
      <c r="B72" s="79">
        <v>17</v>
      </c>
      <c r="C72" s="79" t="s">
        <v>29</v>
      </c>
      <c r="D72" s="104">
        <v>35362.800000000003</v>
      </c>
      <c r="E72" s="104">
        <v>24453</v>
      </c>
      <c r="F72" s="104">
        <v>58806.91</v>
      </c>
      <c r="G72" s="104">
        <v>16552.8</v>
      </c>
      <c r="H72" s="104">
        <v>59689.014665000002</v>
      </c>
      <c r="I72" s="235">
        <v>16552.8</v>
      </c>
      <c r="J72" s="84">
        <f>SALARIES!J218</f>
        <v>63270.355544900005</v>
      </c>
      <c r="K72" s="91"/>
      <c r="L72" s="165">
        <f t="shared" si="10"/>
        <v>36679.5</v>
      </c>
    </row>
    <row r="73" spans="1:13">
      <c r="A73" s="79">
        <v>290</v>
      </c>
      <c r="B73" s="79">
        <v>18</v>
      </c>
      <c r="C73" s="79" t="s">
        <v>31</v>
      </c>
      <c r="D73" s="104">
        <v>131596.22</v>
      </c>
      <c r="E73" s="104">
        <v>118081.93</v>
      </c>
      <c r="F73" s="104">
        <v>312180.98</v>
      </c>
      <c r="G73" s="104">
        <v>100966.81</v>
      </c>
      <c r="H73" s="104">
        <v>316863.69765365002</v>
      </c>
      <c r="I73" s="235">
        <v>100966.81</v>
      </c>
      <c r="J73" s="84">
        <f>SALARIES!J219</f>
        <v>335875.51951286901</v>
      </c>
      <c r="K73" s="91"/>
      <c r="L73" s="165">
        <f t="shared" si="10"/>
        <v>177122.89499999999</v>
      </c>
    </row>
    <row r="74" spans="1:13">
      <c r="A74" s="79">
        <v>290</v>
      </c>
      <c r="B74" s="79">
        <v>102</v>
      </c>
      <c r="C74" s="79" t="s">
        <v>66</v>
      </c>
      <c r="D74" s="104">
        <v>28503.759999999998</v>
      </c>
      <c r="E74" s="104">
        <v>20746.03</v>
      </c>
      <c r="F74" s="104">
        <f t="shared" si="11"/>
        <v>32923.949609999996</v>
      </c>
      <c r="G74" s="104">
        <v>14505.61</v>
      </c>
      <c r="H74" s="104">
        <v>33417.808854149996</v>
      </c>
      <c r="I74" s="235">
        <v>14505.61</v>
      </c>
      <c r="J74" s="84">
        <f>SALARIES!J220</f>
        <v>35422.877385398999</v>
      </c>
      <c r="K74" s="91"/>
      <c r="L74" s="165">
        <f t="shared" si="10"/>
        <v>31119.044999999998</v>
      </c>
    </row>
    <row r="75" spans="1:13">
      <c r="A75" s="79">
        <v>290</v>
      </c>
      <c r="B75" s="79">
        <v>104</v>
      </c>
      <c r="C75" s="79" t="s">
        <v>34</v>
      </c>
      <c r="D75" s="104">
        <v>1193.28</v>
      </c>
      <c r="E75" s="104">
        <v>827.16</v>
      </c>
      <c r="F75" s="104">
        <f t="shared" si="11"/>
        <v>1312.7029199999999</v>
      </c>
      <c r="G75" s="104">
        <v>536.5</v>
      </c>
      <c r="H75" s="104">
        <v>1332.3934638000001</v>
      </c>
      <c r="I75" s="235">
        <v>536.5</v>
      </c>
      <c r="J75" s="84">
        <f>SALARIES!J221</f>
        <v>1412.3370716280001</v>
      </c>
      <c r="K75" s="91"/>
      <c r="L75" s="165">
        <f t="shared" si="10"/>
        <v>1240.74</v>
      </c>
    </row>
    <row r="76" spans="1:13">
      <c r="D76" s="105">
        <f t="shared" ref="D76:J76" si="12">SUM(D62:D75)</f>
        <v>3413410.6</v>
      </c>
      <c r="E76" s="105">
        <f t="shared" si="12"/>
        <v>2469285.2200000002</v>
      </c>
      <c r="F76" s="105">
        <f t="shared" si="12"/>
        <v>4375849.9747899994</v>
      </c>
      <c r="G76" s="105">
        <f t="shared" si="12"/>
        <v>1744308.1300000001</v>
      </c>
      <c r="H76" s="105">
        <f t="shared" si="12"/>
        <v>4441487.7339021005</v>
      </c>
      <c r="I76" s="236">
        <f t="shared" si="12"/>
        <v>1738293.5999999999</v>
      </c>
      <c r="J76" s="74">
        <f t="shared" si="12"/>
        <v>4707976.9979362274</v>
      </c>
      <c r="K76" s="74"/>
      <c r="M76" s="38"/>
    </row>
    <row r="77" spans="1:13">
      <c r="D77" s="105"/>
      <c r="E77" s="105"/>
      <c r="F77" s="105"/>
      <c r="G77" s="105"/>
      <c r="H77" s="105"/>
      <c r="I77" s="236"/>
      <c r="J77" s="74"/>
      <c r="K77" s="74"/>
      <c r="M77" s="38"/>
    </row>
    <row r="78" spans="1:13">
      <c r="A78" s="71" t="s">
        <v>44</v>
      </c>
      <c r="D78" s="105"/>
      <c r="E78" s="105"/>
      <c r="F78" s="105"/>
      <c r="G78" s="105"/>
      <c r="H78" s="105"/>
      <c r="I78" s="236"/>
      <c r="J78" s="74"/>
      <c r="K78" s="74"/>
      <c r="M78" s="38"/>
    </row>
    <row r="79" spans="1:13">
      <c r="A79" s="79">
        <v>290</v>
      </c>
      <c r="B79" s="79">
        <v>210</v>
      </c>
      <c r="C79" s="79" t="s">
        <v>44</v>
      </c>
      <c r="D79" s="104">
        <v>3278090</v>
      </c>
      <c r="E79" s="104">
        <v>0</v>
      </c>
      <c r="F79" s="104">
        <f>'NON CASH'!G16</f>
        <v>3343651.8</v>
      </c>
      <c r="G79" s="104">
        <v>0</v>
      </c>
      <c r="H79" s="104">
        <f>'NON CASH'!H16</f>
        <v>3510834.3899999997</v>
      </c>
      <c r="I79" s="235"/>
      <c r="J79" s="84">
        <f>'NON CASH'!I16</f>
        <v>3581051.0777999996</v>
      </c>
      <c r="K79" s="91"/>
      <c r="L79" s="165">
        <f>+E79/8*12</f>
        <v>0</v>
      </c>
    </row>
    <row r="80" spans="1:13">
      <c r="A80" s="90"/>
      <c r="B80" s="90"/>
      <c r="C80" s="90"/>
      <c r="D80" s="106"/>
      <c r="E80" s="106"/>
      <c r="F80" s="107">
        <f>F79</f>
        <v>3343651.8</v>
      </c>
      <c r="G80" s="107">
        <f>G79</f>
        <v>0</v>
      </c>
      <c r="H80" s="107">
        <f>H79</f>
        <v>3510834.3899999997</v>
      </c>
      <c r="I80" s="237">
        <f>I79</f>
        <v>0</v>
      </c>
      <c r="J80" s="92">
        <f>J79</f>
        <v>3581051.0777999996</v>
      </c>
      <c r="K80" s="92"/>
      <c r="L80" s="165"/>
    </row>
    <row r="81" spans="1:13">
      <c r="A81" s="72" t="s">
        <v>1017</v>
      </c>
      <c r="B81" s="90"/>
      <c r="C81" s="90"/>
      <c r="D81" s="106"/>
      <c r="E81" s="106"/>
      <c r="F81" s="107"/>
      <c r="G81" s="107"/>
      <c r="H81" s="107"/>
      <c r="I81" s="237"/>
      <c r="J81" s="92"/>
      <c r="K81" s="92"/>
      <c r="L81" s="165"/>
    </row>
    <row r="82" spans="1:13">
      <c r="A82" s="79">
        <v>290</v>
      </c>
      <c r="B82" s="79">
        <v>117</v>
      </c>
      <c r="C82" s="79" t="s">
        <v>338</v>
      </c>
      <c r="D82" s="104">
        <v>5450000</v>
      </c>
      <c r="E82" s="104">
        <v>686347.95</v>
      </c>
      <c r="F82" s="104">
        <v>6689508</v>
      </c>
      <c r="G82" s="104">
        <v>196745.86</v>
      </c>
      <c r="H82" s="104">
        <f>'NON CASH'!H27</f>
        <v>6689508</v>
      </c>
      <c r="I82" s="235">
        <v>196009.17</v>
      </c>
      <c r="J82" s="84">
        <f>7590974.06+636369.65</f>
        <v>8227343.71</v>
      </c>
      <c r="K82" s="91"/>
      <c r="L82" s="165"/>
    </row>
    <row r="83" spans="1:13">
      <c r="A83" s="90"/>
      <c r="B83" s="90"/>
      <c r="C83" s="90"/>
      <c r="D83" s="106"/>
      <c r="E83" s="106"/>
      <c r="F83" s="107">
        <f>F82</f>
        <v>6689508</v>
      </c>
      <c r="G83" s="107">
        <f>G82</f>
        <v>196745.86</v>
      </c>
      <c r="H83" s="107">
        <f>H82</f>
        <v>6689508</v>
      </c>
      <c r="I83" s="237">
        <f>I82</f>
        <v>196009.17</v>
      </c>
      <c r="J83" s="92">
        <f>J82</f>
        <v>8227343.71</v>
      </c>
      <c r="K83" s="92"/>
      <c r="L83" s="165"/>
    </row>
    <row r="84" spans="1:13">
      <c r="A84" s="72" t="s">
        <v>1033</v>
      </c>
      <c r="B84" s="90"/>
      <c r="C84" s="90"/>
      <c r="D84" s="106"/>
      <c r="E84" s="106"/>
      <c r="F84" s="107"/>
      <c r="G84" s="107"/>
      <c r="H84" s="107"/>
      <c r="I84" s="237"/>
      <c r="J84" s="92"/>
      <c r="K84" s="92"/>
      <c r="L84" s="165"/>
    </row>
    <row r="85" spans="1:13">
      <c r="A85" s="79">
        <v>290</v>
      </c>
      <c r="B85" s="79">
        <v>165</v>
      </c>
      <c r="C85" s="79" t="s">
        <v>540</v>
      </c>
      <c r="D85" s="104">
        <v>36223000</v>
      </c>
      <c r="E85" s="104">
        <v>25629345.960000001</v>
      </c>
      <c r="F85" s="104">
        <v>43134189.25</v>
      </c>
      <c r="G85" s="104">
        <v>16266894.789999999</v>
      </c>
      <c r="H85" s="104">
        <f>'BULK PURCHASES'!H3</f>
        <v>38183983</v>
      </c>
      <c r="I85" s="235">
        <v>21491233.620000001</v>
      </c>
      <c r="J85" s="84">
        <v>45000000</v>
      </c>
      <c r="K85" s="91">
        <f>I85/7*12</f>
        <v>36842114.77714286</v>
      </c>
      <c r="L85" s="165">
        <f>+E85/8*12</f>
        <v>38444018.939999998</v>
      </c>
      <c r="M85" s="38"/>
    </row>
    <row r="86" spans="1:13">
      <c r="A86" s="90"/>
      <c r="B86" s="90"/>
      <c r="C86" s="90"/>
      <c r="D86" s="106"/>
      <c r="E86" s="106"/>
      <c r="F86" s="107">
        <f>F85</f>
        <v>43134189.25</v>
      </c>
      <c r="G86" s="107">
        <f>G85</f>
        <v>16266894.789999999</v>
      </c>
      <c r="H86" s="107">
        <f>H85</f>
        <v>38183983</v>
      </c>
      <c r="I86" s="237">
        <f>I85</f>
        <v>21491233.620000001</v>
      </c>
      <c r="J86" s="92">
        <f>J85</f>
        <v>45000000</v>
      </c>
      <c r="K86" s="92"/>
      <c r="L86" s="165"/>
    </row>
    <row r="87" spans="1:13">
      <c r="A87" s="72" t="s">
        <v>1029</v>
      </c>
      <c r="B87" s="90"/>
      <c r="C87" s="90"/>
      <c r="D87" s="106"/>
      <c r="E87" s="106"/>
      <c r="F87" s="107"/>
      <c r="G87" s="107"/>
      <c r="H87" s="107"/>
      <c r="I87" s="237"/>
      <c r="J87" s="92"/>
      <c r="K87" s="92"/>
      <c r="L87" s="165"/>
    </row>
    <row r="88" spans="1:13">
      <c r="A88" s="79">
        <v>290</v>
      </c>
      <c r="B88" s="79">
        <v>256</v>
      </c>
      <c r="C88" s="79" t="s">
        <v>350</v>
      </c>
      <c r="D88" s="104">
        <v>3580600</v>
      </c>
      <c r="E88" s="104">
        <v>1687347.6</v>
      </c>
      <c r="F88" s="104">
        <v>3580629</v>
      </c>
      <c r="G88" s="104">
        <v>978160.43</v>
      </c>
      <c r="H88" s="104">
        <f>'FREE BASIC CHARGE'!H5</f>
        <v>3580629</v>
      </c>
      <c r="I88" s="235">
        <v>1192759.8500000001</v>
      </c>
      <c r="J88" s="84">
        <v>2044731.1714285717</v>
      </c>
      <c r="K88" s="91">
        <f>I88/7*12</f>
        <v>2044731.1714285717</v>
      </c>
      <c r="L88" s="165">
        <f>+E88/8*12</f>
        <v>2531021.4000000004</v>
      </c>
    </row>
    <row r="89" spans="1:13">
      <c r="A89" s="90"/>
      <c r="B89" s="90"/>
      <c r="C89" s="90"/>
      <c r="D89" s="106"/>
      <c r="E89" s="106"/>
      <c r="F89" s="107">
        <f>F88</f>
        <v>3580629</v>
      </c>
      <c r="G89" s="107">
        <f>G88</f>
        <v>978160.43</v>
      </c>
      <c r="H89" s="107">
        <f>H88</f>
        <v>3580629</v>
      </c>
      <c r="I89" s="237">
        <f>I88</f>
        <v>1192759.8500000001</v>
      </c>
      <c r="J89" s="92">
        <f>J88</f>
        <v>2044731.1714285717</v>
      </c>
      <c r="K89" s="92"/>
      <c r="L89" s="165"/>
    </row>
    <row r="90" spans="1:13" s="71" customFormat="1">
      <c r="A90" s="71" t="s">
        <v>927</v>
      </c>
      <c r="D90" s="108"/>
      <c r="E90" s="108"/>
      <c r="F90" s="108"/>
      <c r="G90" s="108"/>
      <c r="H90" s="108"/>
      <c r="I90" s="238"/>
      <c r="J90" s="70"/>
      <c r="K90" s="70"/>
      <c r="L90" s="170"/>
    </row>
    <row r="91" spans="1:13">
      <c r="A91" s="79">
        <v>290</v>
      </c>
      <c r="B91" s="79">
        <v>264</v>
      </c>
      <c r="C91" s="79" t="s">
        <v>214</v>
      </c>
      <c r="D91" s="104">
        <v>20000</v>
      </c>
      <c r="E91" s="104">
        <v>8592.2199999999993</v>
      </c>
      <c r="F91" s="104">
        <v>40000</v>
      </c>
      <c r="G91" s="104">
        <v>931.77</v>
      </c>
      <c r="H91" s="104">
        <f>RME!H27</f>
        <v>7000</v>
      </c>
      <c r="I91" s="235">
        <v>931.77</v>
      </c>
      <c r="J91" s="84">
        <v>20000</v>
      </c>
      <c r="K91" s="91">
        <f>I91/7*12</f>
        <v>1597.3199999999997</v>
      </c>
      <c r="L91" s="165">
        <f>+E91/8*12</f>
        <v>12888.329999999998</v>
      </c>
    </row>
    <row r="92" spans="1:13">
      <c r="A92" s="79">
        <v>290</v>
      </c>
      <c r="B92" s="79">
        <v>278</v>
      </c>
      <c r="C92" s="79" t="s">
        <v>218</v>
      </c>
      <c r="D92" s="104">
        <v>915000</v>
      </c>
      <c r="E92" s="104">
        <v>146387.45000000001</v>
      </c>
      <c r="F92" s="104">
        <v>800000</v>
      </c>
      <c r="G92" s="104">
        <v>48300</v>
      </c>
      <c r="H92" s="104">
        <f>RME!H28</f>
        <v>500000</v>
      </c>
      <c r="I92" s="302">
        <v>48300</v>
      </c>
      <c r="J92" s="84">
        <v>600000</v>
      </c>
      <c r="K92" s="91">
        <f>I92/7*12</f>
        <v>82800</v>
      </c>
      <c r="L92" s="165">
        <f>+E92/8*12</f>
        <v>219581.17500000002</v>
      </c>
    </row>
    <row r="93" spans="1:13">
      <c r="A93" s="79">
        <v>290</v>
      </c>
      <c r="B93" s="79">
        <v>280</v>
      </c>
      <c r="C93" s="79" t="s">
        <v>551</v>
      </c>
      <c r="D93" s="104">
        <v>1300000</v>
      </c>
      <c r="E93" s="104">
        <v>1430646.28</v>
      </c>
      <c r="F93" s="104">
        <v>1338203</v>
      </c>
      <c r="G93" s="104">
        <v>370879.26</v>
      </c>
      <c r="H93" s="104">
        <f>RME!H29</f>
        <v>1338203</v>
      </c>
      <c r="I93" s="235">
        <v>370879.26</v>
      </c>
      <c r="J93" s="84">
        <v>1200000</v>
      </c>
      <c r="K93" s="91">
        <f>I93/7*12</f>
        <v>635793.01714285719</v>
      </c>
      <c r="L93" s="165">
        <f>+E93/8*12</f>
        <v>2145969.42</v>
      </c>
    </row>
    <row r="94" spans="1:13">
      <c r="A94" s="79">
        <v>290</v>
      </c>
      <c r="B94" s="79">
        <v>283</v>
      </c>
      <c r="C94" s="79" t="s">
        <v>553</v>
      </c>
      <c r="D94" s="104">
        <v>280000</v>
      </c>
      <c r="E94" s="104">
        <v>191311.94</v>
      </c>
      <c r="F94" s="104">
        <v>300000</v>
      </c>
      <c r="G94" s="104">
        <v>28868.400000000001</v>
      </c>
      <c r="H94" s="104">
        <f>RME!H30</f>
        <v>300000</v>
      </c>
      <c r="I94" s="235">
        <v>28868.400000000001</v>
      </c>
      <c r="J94" s="84">
        <v>350000</v>
      </c>
      <c r="K94" s="91">
        <f>I94/7*12</f>
        <v>49488.685714285719</v>
      </c>
      <c r="L94" s="165">
        <f>+E94/8*12</f>
        <v>286967.91000000003</v>
      </c>
    </row>
    <row r="95" spans="1:13">
      <c r="A95" s="79">
        <v>290</v>
      </c>
      <c r="B95" s="79">
        <v>284</v>
      </c>
      <c r="C95" s="79" t="s">
        <v>221</v>
      </c>
      <c r="D95" s="104">
        <v>135000</v>
      </c>
      <c r="E95" s="104">
        <v>71297.350000000006</v>
      </c>
      <c r="F95" s="104">
        <v>150000</v>
      </c>
      <c r="G95" s="104">
        <v>73600.820000000007</v>
      </c>
      <c r="H95" s="104">
        <f>RME!H31</f>
        <v>150000</v>
      </c>
      <c r="I95" s="235">
        <v>73653.45</v>
      </c>
      <c r="J95" s="84">
        <v>150000</v>
      </c>
      <c r="K95" s="91">
        <f>I95/7*12</f>
        <v>126263.05714285714</v>
      </c>
      <c r="L95" s="165">
        <f>+E95/8*12</f>
        <v>106946.02500000001</v>
      </c>
    </row>
    <row r="96" spans="1:13">
      <c r="D96" s="105">
        <f t="shared" ref="D96:J96" si="13">SUM(D91:D95)</f>
        <v>2650000</v>
      </c>
      <c r="E96" s="105">
        <f t="shared" si="13"/>
        <v>1848235.24</v>
      </c>
      <c r="F96" s="105">
        <f t="shared" si="13"/>
        <v>2628203</v>
      </c>
      <c r="G96" s="105">
        <f t="shared" si="13"/>
        <v>522580.25000000006</v>
      </c>
      <c r="H96" s="105">
        <f t="shared" si="13"/>
        <v>2295203</v>
      </c>
      <c r="I96" s="236">
        <f t="shared" si="13"/>
        <v>522632.88000000006</v>
      </c>
      <c r="J96" s="74">
        <f t="shared" si="13"/>
        <v>2320000</v>
      </c>
      <c r="K96" s="74"/>
      <c r="L96" s="165"/>
      <c r="M96" s="38"/>
    </row>
    <row r="97" spans="1:13">
      <c r="A97" s="90"/>
      <c r="B97" s="90"/>
      <c r="C97" s="90"/>
      <c r="D97" s="106"/>
      <c r="E97" s="106"/>
      <c r="F97" s="107"/>
      <c r="G97" s="107"/>
      <c r="H97" s="107"/>
      <c r="I97" s="237"/>
      <c r="J97" s="92"/>
      <c r="K97" s="92"/>
      <c r="L97" s="165"/>
    </row>
    <row r="98" spans="1:13" s="71" customFormat="1">
      <c r="A98" s="71" t="s">
        <v>924</v>
      </c>
      <c r="D98" s="108"/>
      <c r="E98" s="108"/>
      <c r="F98" s="108"/>
      <c r="G98" s="108"/>
      <c r="H98" s="108"/>
      <c r="I98" s="238"/>
      <c r="J98" s="70"/>
      <c r="K98" s="70"/>
      <c r="L98" s="170"/>
    </row>
    <row r="99" spans="1:13">
      <c r="A99" s="79">
        <v>290</v>
      </c>
      <c r="B99" s="79">
        <v>123</v>
      </c>
      <c r="C99" s="79" t="s">
        <v>187</v>
      </c>
      <c r="D99" s="104">
        <v>802000</v>
      </c>
      <c r="E99" s="104">
        <v>353125.17</v>
      </c>
      <c r="F99" s="104">
        <v>200000</v>
      </c>
      <c r="G99" s="104">
        <v>13298.37</v>
      </c>
      <c r="H99" s="104">
        <v>100000</v>
      </c>
      <c r="I99" s="302">
        <v>13298.37</v>
      </c>
      <c r="J99" s="84">
        <v>150000</v>
      </c>
      <c r="K99" s="91">
        <f>I99/7*12</f>
        <v>22797.205714285716</v>
      </c>
      <c r="L99" s="165">
        <f t="shared" ref="L99:L107" si="14">+E99/8*12</f>
        <v>529687.755</v>
      </c>
    </row>
    <row r="100" spans="1:13" s="233" customFormat="1">
      <c r="A100" s="337">
        <v>290</v>
      </c>
      <c r="B100" s="337">
        <v>135</v>
      </c>
      <c r="C100" s="337" t="s">
        <v>189</v>
      </c>
      <c r="D100" s="338">
        <v>2000000</v>
      </c>
      <c r="E100" s="338">
        <v>1816928.49</v>
      </c>
      <c r="F100" s="338">
        <v>2700000</v>
      </c>
      <c r="G100" s="338">
        <v>6919153.3899999997</v>
      </c>
      <c r="H100" s="338">
        <v>2700000</v>
      </c>
      <c r="I100" s="338">
        <v>10821365.199999999</v>
      </c>
      <c r="J100" s="338">
        <v>0</v>
      </c>
      <c r="K100" s="91">
        <f t="shared" ref="K100:K108" si="15">I100/7*12</f>
        <v>18550911.77142857</v>
      </c>
      <c r="L100" s="247">
        <f t="shared" si="14"/>
        <v>2725392.7349999999</v>
      </c>
    </row>
    <row r="101" spans="1:13">
      <c r="A101" s="79">
        <v>290</v>
      </c>
      <c r="B101" s="79">
        <v>175</v>
      </c>
      <c r="C101" s="79" t="s">
        <v>127</v>
      </c>
      <c r="D101" s="104">
        <v>66109.75</v>
      </c>
      <c r="E101" s="104">
        <v>17551.689999999999</v>
      </c>
      <c r="F101" s="104">
        <v>30000</v>
      </c>
      <c r="G101" s="104">
        <v>23528.75</v>
      </c>
      <c r="H101" s="104">
        <v>50000</v>
      </c>
      <c r="I101" s="235">
        <v>24122</v>
      </c>
      <c r="J101" s="84">
        <v>50000</v>
      </c>
      <c r="K101" s="91">
        <f t="shared" si="15"/>
        <v>41352</v>
      </c>
      <c r="L101" s="165">
        <f t="shared" si="14"/>
        <v>26327.534999999996</v>
      </c>
    </row>
    <row r="102" spans="1:13">
      <c r="A102" s="79">
        <v>290</v>
      </c>
      <c r="B102" s="79">
        <v>193</v>
      </c>
      <c r="C102" s="79" t="s">
        <v>255</v>
      </c>
      <c r="D102" s="104">
        <v>158000</v>
      </c>
      <c r="E102" s="104">
        <v>10000</v>
      </c>
      <c r="F102" s="104">
        <v>500000</v>
      </c>
      <c r="G102" s="104">
        <v>0</v>
      </c>
      <c r="H102" s="104">
        <v>800000</v>
      </c>
      <c r="I102" s="235">
        <v>0</v>
      </c>
      <c r="J102" s="84">
        <v>0</v>
      </c>
      <c r="K102" s="91">
        <f t="shared" si="15"/>
        <v>0</v>
      </c>
      <c r="L102" s="165">
        <f t="shared" si="14"/>
        <v>15000</v>
      </c>
    </row>
    <row r="103" spans="1:13" s="233" customFormat="1">
      <c r="A103" s="251">
        <v>290</v>
      </c>
      <c r="B103" s="251">
        <v>195</v>
      </c>
      <c r="C103" s="251" t="s">
        <v>38</v>
      </c>
      <c r="D103" s="104">
        <v>80000</v>
      </c>
      <c r="E103" s="104">
        <v>24216.17</v>
      </c>
      <c r="F103" s="104">
        <v>40000</v>
      </c>
      <c r="G103" s="104">
        <v>77391.66</v>
      </c>
      <c r="H103" s="104">
        <v>140000</v>
      </c>
      <c r="I103" s="235">
        <v>80672.429999999993</v>
      </c>
      <c r="J103" s="83">
        <v>50000</v>
      </c>
      <c r="K103" s="91">
        <f t="shared" si="15"/>
        <v>138295.59428571427</v>
      </c>
      <c r="L103" s="247">
        <f t="shared" si="14"/>
        <v>36324.254999999997</v>
      </c>
    </row>
    <row r="104" spans="1:13">
      <c r="A104" s="79">
        <v>290</v>
      </c>
      <c r="B104" s="79">
        <v>204</v>
      </c>
      <c r="C104" s="79" t="s">
        <v>42</v>
      </c>
      <c r="D104" s="104">
        <v>7000</v>
      </c>
      <c r="E104" s="104">
        <v>5505.56</v>
      </c>
      <c r="F104" s="104">
        <v>8000</v>
      </c>
      <c r="G104" s="104">
        <v>36005.879999999997</v>
      </c>
      <c r="H104" s="104">
        <v>68000</v>
      </c>
      <c r="I104" s="235">
        <v>41015.85</v>
      </c>
      <c r="J104" s="84">
        <v>60000</v>
      </c>
      <c r="K104" s="91">
        <f t="shared" si="15"/>
        <v>70312.885714285716</v>
      </c>
      <c r="L104" s="165">
        <f t="shared" si="14"/>
        <v>8258.34</v>
      </c>
    </row>
    <row r="105" spans="1:13">
      <c r="A105" s="79">
        <v>290</v>
      </c>
      <c r="B105" s="79">
        <v>208</v>
      </c>
      <c r="C105" s="79" t="s">
        <v>544</v>
      </c>
      <c r="D105" s="104">
        <v>0</v>
      </c>
      <c r="E105" s="104">
        <v>180</v>
      </c>
      <c r="F105" s="104">
        <v>0</v>
      </c>
      <c r="G105" s="104"/>
      <c r="H105" s="104">
        <v>0</v>
      </c>
      <c r="I105" s="235"/>
      <c r="J105" s="84">
        <v>0</v>
      </c>
      <c r="K105" s="91">
        <f t="shared" si="15"/>
        <v>0</v>
      </c>
      <c r="L105" s="165">
        <f t="shared" si="14"/>
        <v>270</v>
      </c>
    </row>
    <row r="106" spans="1:13">
      <c r="A106" s="79">
        <v>290</v>
      </c>
      <c r="B106" s="79">
        <v>243</v>
      </c>
      <c r="C106" s="79" t="s">
        <v>254</v>
      </c>
      <c r="D106" s="104">
        <v>4500</v>
      </c>
      <c r="E106" s="104">
        <v>2507.5</v>
      </c>
      <c r="F106" s="104">
        <v>4500</v>
      </c>
      <c r="G106" s="104">
        <v>0</v>
      </c>
      <c r="H106" s="104">
        <v>0</v>
      </c>
      <c r="I106" s="235">
        <v>0</v>
      </c>
      <c r="J106" s="84">
        <v>5000</v>
      </c>
      <c r="K106" s="91">
        <f t="shared" si="15"/>
        <v>0</v>
      </c>
      <c r="L106" s="165">
        <f t="shared" si="14"/>
        <v>3761.25</v>
      </c>
    </row>
    <row r="107" spans="1:13">
      <c r="A107" s="79">
        <v>290</v>
      </c>
      <c r="B107" s="79">
        <v>252</v>
      </c>
      <c r="C107" s="79" t="s">
        <v>546</v>
      </c>
      <c r="D107" s="104">
        <v>658000</v>
      </c>
      <c r="E107" s="104">
        <v>455286.9</v>
      </c>
      <c r="F107" s="104">
        <v>682930</v>
      </c>
      <c r="G107" s="104">
        <v>326919.09999999998</v>
      </c>
      <c r="H107" s="104">
        <v>682930</v>
      </c>
      <c r="I107" s="235">
        <v>342767.1</v>
      </c>
      <c r="J107" s="84">
        <v>622856.78</v>
      </c>
      <c r="K107" s="91">
        <f t="shared" si="15"/>
        <v>587600.74285714282</v>
      </c>
      <c r="L107" s="165">
        <f t="shared" si="14"/>
        <v>682930.35000000009</v>
      </c>
    </row>
    <row r="108" spans="1:13" s="233" customFormat="1">
      <c r="A108" s="251">
        <v>290</v>
      </c>
      <c r="B108" s="251">
        <v>461</v>
      </c>
      <c r="C108" s="251" t="s">
        <v>484</v>
      </c>
      <c r="D108" s="104">
        <v>250000</v>
      </c>
      <c r="E108" s="104">
        <v>33375.9</v>
      </c>
      <c r="F108" s="104">
        <v>250000</v>
      </c>
      <c r="G108" s="104">
        <v>1600757</v>
      </c>
      <c r="H108" s="104">
        <v>250000</v>
      </c>
      <c r="I108" s="235">
        <v>1600757</v>
      </c>
      <c r="J108" s="83">
        <v>250000</v>
      </c>
      <c r="K108" s="91">
        <f t="shared" si="15"/>
        <v>2744154.8571428573</v>
      </c>
      <c r="L108" s="232"/>
    </row>
    <row r="109" spans="1:13">
      <c r="D109" s="105">
        <f t="shared" ref="D109:J109" si="16">SUM(D99:D108)</f>
        <v>4025609.75</v>
      </c>
      <c r="E109" s="105">
        <f t="shared" si="16"/>
        <v>2718677.38</v>
      </c>
      <c r="F109" s="105">
        <f t="shared" si="16"/>
        <v>4415430</v>
      </c>
      <c r="G109" s="105">
        <f t="shared" si="16"/>
        <v>8997054.1499999985</v>
      </c>
      <c r="H109" s="105">
        <f t="shared" si="16"/>
        <v>4790930</v>
      </c>
      <c r="I109" s="236">
        <f t="shared" si="16"/>
        <v>12923997.949999997</v>
      </c>
      <c r="J109" s="74">
        <f t="shared" si="16"/>
        <v>1187856.78</v>
      </c>
      <c r="K109" s="74"/>
      <c r="M109" s="38"/>
    </row>
    <row r="110" spans="1:13" s="71" customFormat="1">
      <c r="A110" s="71" t="s">
        <v>925</v>
      </c>
      <c r="D110" s="108"/>
      <c r="E110" s="108"/>
      <c r="F110" s="108"/>
      <c r="G110" s="108"/>
      <c r="H110" s="108"/>
      <c r="I110" s="238"/>
      <c r="J110" s="70"/>
      <c r="K110" s="70"/>
      <c r="L110" s="70"/>
    </row>
    <row r="111" spans="1:13">
      <c r="A111" s="79">
        <v>290</v>
      </c>
      <c r="B111" s="79">
        <v>460</v>
      </c>
      <c r="C111" s="88" t="s">
        <v>145</v>
      </c>
      <c r="D111" s="104">
        <v>0</v>
      </c>
      <c r="E111" s="104">
        <v>1473088.9</v>
      </c>
      <c r="F111" s="104">
        <v>1645000</v>
      </c>
      <c r="G111" s="104">
        <v>0</v>
      </c>
      <c r="H111" s="104">
        <f>CAPITAL!F50</f>
        <v>2689000</v>
      </c>
      <c r="I111" s="235">
        <v>0</v>
      </c>
      <c r="J111" s="84">
        <v>0</v>
      </c>
      <c r="K111" s="91"/>
    </row>
    <row r="112" spans="1:13">
      <c r="A112" s="79">
        <v>290</v>
      </c>
      <c r="B112" s="79">
        <v>465</v>
      </c>
      <c r="C112" s="79" t="s">
        <v>558</v>
      </c>
      <c r="D112" s="104">
        <v>5300000</v>
      </c>
      <c r="E112" s="104">
        <v>0</v>
      </c>
      <c r="F112" s="104">
        <v>1595000</v>
      </c>
      <c r="G112" s="104">
        <v>0</v>
      </c>
      <c r="H112" s="104">
        <f>CAPITAL!F49</f>
        <v>551000</v>
      </c>
      <c r="I112" s="235">
        <v>0</v>
      </c>
      <c r="J112" s="84"/>
      <c r="K112" s="91"/>
      <c r="L112" s="76"/>
    </row>
    <row r="113" spans="1:16">
      <c r="A113" s="79">
        <v>290</v>
      </c>
      <c r="B113" s="79">
        <v>475</v>
      </c>
      <c r="C113" s="79" t="s">
        <v>559</v>
      </c>
      <c r="D113" s="104">
        <v>0</v>
      </c>
      <c r="E113" s="104">
        <v>310715.02</v>
      </c>
      <c r="F113" s="104">
        <v>0</v>
      </c>
      <c r="G113" s="104"/>
      <c r="H113" s="104">
        <v>0</v>
      </c>
      <c r="I113" s="235">
        <v>0</v>
      </c>
      <c r="J113" s="84"/>
      <c r="K113" s="91"/>
    </row>
    <row r="114" spans="1:16">
      <c r="A114" s="79">
        <v>290</v>
      </c>
      <c r="B114" s="79">
        <v>479</v>
      </c>
      <c r="C114" s="79" t="s">
        <v>561</v>
      </c>
      <c r="D114" s="104">
        <v>800000</v>
      </c>
      <c r="E114" s="104">
        <v>133787.29</v>
      </c>
      <c r="F114" s="104">
        <v>0</v>
      </c>
      <c r="G114" s="104"/>
      <c r="H114" s="104">
        <v>0</v>
      </c>
      <c r="I114" s="235">
        <v>0</v>
      </c>
      <c r="J114" s="84"/>
      <c r="K114" s="91"/>
    </row>
    <row r="115" spans="1:16">
      <c r="D115" s="105">
        <f t="shared" ref="D115:J115" si="17">SUM(D111:D114)</f>
        <v>6100000</v>
      </c>
      <c r="E115" s="105">
        <f t="shared" si="17"/>
        <v>1917591.21</v>
      </c>
      <c r="F115" s="105">
        <f t="shared" si="17"/>
        <v>3240000</v>
      </c>
      <c r="G115" s="105">
        <f t="shared" si="17"/>
        <v>0</v>
      </c>
      <c r="H115" s="105">
        <f t="shared" si="17"/>
        <v>3240000</v>
      </c>
      <c r="I115" s="236">
        <f t="shared" si="17"/>
        <v>0</v>
      </c>
      <c r="J115" s="74">
        <f t="shared" si="17"/>
        <v>0</v>
      </c>
      <c r="K115" s="74"/>
    </row>
    <row r="116" spans="1:16" s="71" customFormat="1">
      <c r="A116" s="71" t="s">
        <v>923</v>
      </c>
      <c r="D116" s="108"/>
      <c r="E116" s="108"/>
      <c r="F116" s="108"/>
      <c r="G116" s="108"/>
      <c r="H116" s="108"/>
      <c r="I116" s="238"/>
      <c r="J116" s="70"/>
      <c r="K116" s="70"/>
      <c r="L116" s="70"/>
    </row>
    <row r="117" spans="1:16" s="71" customFormat="1">
      <c r="A117" s="86"/>
      <c r="B117" s="86"/>
      <c r="C117" s="86" t="s">
        <v>981</v>
      </c>
      <c r="D117" s="110"/>
      <c r="E117" s="110"/>
      <c r="F117" s="110">
        <v>0</v>
      </c>
      <c r="G117" s="110"/>
      <c r="H117" s="110">
        <v>0</v>
      </c>
      <c r="I117" s="242">
        <v>0</v>
      </c>
      <c r="J117" s="87">
        <v>0</v>
      </c>
      <c r="K117" s="287">
        <f>I117/7*12</f>
        <v>0</v>
      </c>
      <c r="L117" s="70"/>
    </row>
    <row r="118" spans="1:16">
      <c r="A118" s="79">
        <v>290</v>
      </c>
      <c r="B118" s="79">
        <v>8801</v>
      </c>
      <c r="C118" s="79" t="s">
        <v>562</v>
      </c>
      <c r="D118" s="104">
        <v>-500000</v>
      </c>
      <c r="E118" s="104">
        <f>M121-136565</f>
        <v>-136565</v>
      </c>
      <c r="F118" s="104">
        <v>-204847.5</v>
      </c>
      <c r="G118" s="104">
        <v>-250764.54</v>
      </c>
      <c r="H118" s="104">
        <f>'OTHER REVENUE'!H32</f>
        <v>-430000</v>
      </c>
      <c r="I118" s="235">
        <v>-249575.22</v>
      </c>
      <c r="J118" s="84">
        <f>-427843.234285714+-25670.59</f>
        <v>-453513.82428571401</v>
      </c>
      <c r="K118" s="287">
        <f t="shared" ref="K118:K124" si="18">I118/7*12</f>
        <v>-427843.23428571422</v>
      </c>
      <c r="L118" s="38">
        <f>E118/8*12</f>
        <v>-204847.5</v>
      </c>
      <c r="M118" s="38">
        <f>L118*12.2/100</f>
        <v>-24991.395</v>
      </c>
      <c r="N118" s="38">
        <f>L118+M118</f>
        <v>-229838.89499999999</v>
      </c>
      <c r="P118" s="38"/>
    </row>
    <row r="119" spans="1:16">
      <c r="A119" s="88">
        <v>290</v>
      </c>
      <c r="B119" s="88">
        <v>8803</v>
      </c>
      <c r="C119" s="88" t="s">
        <v>564</v>
      </c>
      <c r="D119" s="111">
        <v>0</v>
      </c>
      <c r="E119" s="111">
        <v>-1000000</v>
      </c>
      <c r="F119" s="111">
        <v>0</v>
      </c>
      <c r="G119" s="111">
        <v>-1561000</v>
      </c>
      <c r="H119" s="111">
        <f>GRANTS!H29</f>
        <v>0</v>
      </c>
      <c r="I119" s="250">
        <v>-1561000</v>
      </c>
      <c r="J119" s="89">
        <v>0</v>
      </c>
      <c r="K119" s="287">
        <v>0</v>
      </c>
      <c r="P119" s="38"/>
    </row>
    <row r="120" spans="1:16">
      <c r="A120" s="79">
        <v>290</v>
      </c>
      <c r="B120" s="79">
        <v>8822</v>
      </c>
      <c r="C120" s="79" t="s">
        <v>486</v>
      </c>
      <c r="D120" s="104">
        <v>0</v>
      </c>
      <c r="E120" s="104">
        <v>-11241.44</v>
      </c>
      <c r="F120" s="104">
        <f>-18919.34</f>
        <v>-18919.34</v>
      </c>
      <c r="G120" s="104">
        <v>-11150.66</v>
      </c>
      <c r="H120" s="104">
        <f>'OTHER REVENUE'!H33</f>
        <v>-21876</v>
      </c>
      <c r="I120" s="235">
        <v>-11150.66</v>
      </c>
      <c r="J120" s="84">
        <v>-20262.342171428572</v>
      </c>
      <c r="K120" s="287">
        <f t="shared" si="18"/>
        <v>-19115.417142857143</v>
      </c>
      <c r="M120" s="38"/>
      <c r="P120" s="38"/>
    </row>
    <row r="121" spans="1:16">
      <c r="A121" s="79">
        <v>290</v>
      </c>
      <c r="B121" s="79">
        <v>8823</v>
      </c>
      <c r="C121" s="79" t="s">
        <v>566</v>
      </c>
      <c r="D121" s="104">
        <v>0</v>
      </c>
      <c r="E121" s="104">
        <v>0</v>
      </c>
      <c r="F121" s="104">
        <v>-1115052.6299999999</v>
      </c>
      <c r="G121" s="104">
        <v>-10885.09</v>
      </c>
      <c r="H121" s="104">
        <f>'OTHER REVENUE'!H34</f>
        <v>-40000</v>
      </c>
      <c r="I121" s="235">
        <v>-10885.09</v>
      </c>
      <c r="J121" s="84">
        <v>-19779.763542857141</v>
      </c>
      <c r="K121" s="287">
        <f t="shared" si="18"/>
        <v>-18660.154285714285</v>
      </c>
      <c r="M121" s="38"/>
    </row>
    <row r="122" spans="1:16">
      <c r="A122" s="79">
        <v>290</v>
      </c>
      <c r="B122" s="79">
        <v>8875</v>
      </c>
      <c r="C122" s="79" t="s">
        <v>121</v>
      </c>
      <c r="D122" s="104">
        <v>-8710000</v>
      </c>
      <c r="E122" s="104">
        <v>0</v>
      </c>
      <c r="F122" s="104">
        <f>GRANTS!G30</f>
        <v>-3580629</v>
      </c>
      <c r="G122" s="104">
        <v>0</v>
      </c>
      <c r="H122" s="104">
        <f>GRANTS!H30</f>
        <v>-3580629</v>
      </c>
      <c r="I122" s="235">
        <v>0</v>
      </c>
      <c r="J122" s="84">
        <f>GRANTS!I30</f>
        <v>-3580629</v>
      </c>
      <c r="K122" s="287">
        <f t="shared" si="18"/>
        <v>0</v>
      </c>
      <c r="M122" s="38"/>
    </row>
    <row r="123" spans="1:16" ht="15.75" thickBot="1">
      <c r="A123" s="79">
        <v>290</v>
      </c>
      <c r="B123" s="79">
        <v>8911</v>
      </c>
      <c r="C123" s="79" t="s">
        <v>567</v>
      </c>
      <c r="D123" s="104">
        <v>0</v>
      </c>
      <c r="E123" s="104">
        <v>-62485.53</v>
      </c>
      <c r="F123" s="104">
        <v>-200000</v>
      </c>
      <c r="G123" s="104">
        <v>-73332.59</v>
      </c>
      <c r="H123" s="104">
        <f>'OTHER REVENUE'!H35</f>
        <v>-200000</v>
      </c>
      <c r="I123" s="235">
        <v>-74217.47</v>
      </c>
      <c r="J123" s="84">
        <f>-127229.948571429+-7633.8</f>
        <v>-134863.74857142899</v>
      </c>
      <c r="K123" s="287">
        <f t="shared" si="18"/>
        <v>-127229.94857142857</v>
      </c>
    </row>
    <row r="124" spans="1:16" ht="15.75" thickBot="1">
      <c r="A124" s="79">
        <v>290</v>
      </c>
      <c r="B124" s="79">
        <v>8912</v>
      </c>
      <c r="C124" s="79" t="s">
        <v>569</v>
      </c>
      <c r="D124" s="104">
        <v>-5300000</v>
      </c>
      <c r="E124" s="104">
        <v>-4300000</v>
      </c>
      <c r="F124" s="104">
        <v>-3240000</v>
      </c>
      <c r="G124" s="104">
        <v>0</v>
      </c>
      <c r="H124" s="104">
        <f>GRANTS!H31</f>
        <v>-3240000</v>
      </c>
      <c r="I124" s="235">
        <v>0</v>
      </c>
      <c r="J124" s="84">
        <f>GRANTS!I31</f>
        <v>0</v>
      </c>
      <c r="K124" s="287">
        <f t="shared" si="18"/>
        <v>0</v>
      </c>
      <c r="M124" s="61" t="s">
        <v>916</v>
      </c>
      <c r="N124" s="221" t="s">
        <v>1105</v>
      </c>
      <c r="O124" s="59" t="s">
        <v>1103</v>
      </c>
      <c r="P124" s="59" t="s">
        <v>1117</v>
      </c>
    </row>
    <row r="125" spans="1:16">
      <c r="A125" s="79">
        <v>290</v>
      </c>
      <c r="B125" s="79">
        <v>8951</v>
      </c>
      <c r="C125" s="79" t="s">
        <v>570</v>
      </c>
      <c r="D125" s="109">
        <v>-30078142.010000002</v>
      </c>
      <c r="E125" s="109">
        <v>-15899009.6</v>
      </c>
      <c r="F125" s="109">
        <v>-26758032</v>
      </c>
      <c r="G125" s="109">
        <v>-13503749.82</v>
      </c>
      <c r="H125" s="109">
        <f>F125</f>
        <v>-26758032</v>
      </c>
      <c r="I125" s="235">
        <v>-16709691.32</v>
      </c>
      <c r="J125" s="85">
        <f>K125</f>
        <v>-30833677.263168007</v>
      </c>
      <c r="K125" s="287">
        <f>I125/7*12*1.0764</f>
        <v>-30833677.263168007</v>
      </c>
      <c r="L125" s="70" t="s">
        <v>970</v>
      </c>
      <c r="M125" s="38">
        <f>D76+D109+D96</f>
        <v>10089020.35</v>
      </c>
      <c r="N125" s="38">
        <f>F76+F80+F83+F86+F89+F109+F96</f>
        <v>68167461.024790004</v>
      </c>
      <c r="O125" s="38">
        <f>H76+H80+H83+H86+H89+H109+H96</f>
        <v>63492575.123902097</v>
      </c>
      <c r="P125" s="38">
        <f>J76+J80+J83+J86+J89+J109+J96</f>
        <v>67068959.737164795</v>
      </c>
    </row>
    <row r="126" spans="1:16">
      <c r="A126" s="79">
        <v>290</v>
      </c>
      <c r="B126" s="79">
        <v>8958</v>
      </c>
      <c r="C126" s="79" t="s">
        <v>572</v>
      </c>
      <c r="D126" s="109">
        <v>-10421857.99</v>
      </c>
      <c r="E126" s="109">
        <v>-10712953.800000001</v>
      </c>
      <c r="F126" s="109">
        <v>-18029900</v>
      </c>
      <c r="G126" s="109">
        <v>-9307143.5800000001</v>
      </c>
      <c r="H126" s="109">
        <f>F126</f>
        <v>-18029900</v>
      </c>
      <c r="I126" s="235">
        <v>-10396333.470000001</v>
      </c>
      <c r="J126" s="85">
        <f>K126</f>
        <v>-19183908.595042285</v>
      </c>
      <c r="K126" s="287">
        <f>I126/7*12*1.0764</f>
        <v>-19183908.595042285</v>
      </c>
      <c r="L126" s="70" t="s">
        <v>971</v>
      </c>
      <c r="M126" s="38">
        <f>D129-D124</f>
        <v>-49710000.000000007</v>
      </c>
      <c r="N126" s="38">
        <f>F129+-F124</f>
        <v>-49907380.469999999</v>
      </c>
      <c r="O126" s="38">
        <f>H129-H124</f>
        <v>-49064437</v>
      </c>
      <c r="P126" s="38">
        <f>J129-J124</f>
        <v>-67543526.868210301</v>
      </c>
    </row>
    <row r="127" spans="1:16" ht="15.75" thickBot="1">
      <c r="A127" s="79">
        <v>290</v>
      </c>
      <c r="B127" s="79">
        <v>8960</v>
      </c>
      <c r="C127" s="79" t="s">
        <v>574</v>
      </c>
      <c r="D127" s="104">
        <v>0</v>
      </c>
      <c r="E127" s="104">
        <v>-701.75</v>
      </c>
      <c r="F127" s="104">
        <v>0</v>
      </c>
      <c r="G127" s="104">
        <v>-2070</v>
      </c>
      <c r="H127" s="104">
        <f>'OTHER REVENUE'!H36</f>
        <v>-4000</v>
      </c>
      <c r="I127" s="235">
        <v>-2070</v>
      </c>
      <c r="J127" s="84">
        <f>-3548.57142857143+-212.91</f>
        <v>-3761.4814285714297</v>
      </c>
      <c r="K127" s="287">
        <f>I127/7*12</f>
        <v>-3548.5714285714284</v>
      </c>
      <c r="M127" s="75">
        <f>M125+M126</f>
        <v>-39620979.650000006</v>
      </c>
      <c r="N127" s="75">
        <f>N125+N126</f>
        <v>18260080.554790005</v>
      </c>
      <c r="O127" s="75">
        <f>O125+O126</f>
        <v>14428138.123902097</v>
      </c>
      <c r="P127" s="75">
        <f>P125+P126</f>
        <v>-474567.1310455054</v>
      </c>
    </row>
    <row r="128" spans="1:16" ht="15.75" thickTop="1">
      <c r="A128" s="340"/>
      <c r="B128" s="340"/>
      <c r="C128" s="339" t="s">
        <v>1140</v>
      </c>
      <c r="D128" s="341">
        <v>0</v>
      </c>
      <c r="E128" s="341"/>
      <c r="F128" s="341">
        <v>0</v>
      </c>
      <c r="G128" s="341"/>
      <c r="H128" s="341">
        <v>0</v>
      </c>
      <c r="I128" s="341">
        <v>0</v>
      </c>
      <c r="J128" s="341">
        <v>-13313130.85</v>
      </c>
      <c r="K128" s="91"/>
      <c r="M128" s="91"/>
      <c r="N128" s="91"/>
      <c r="O128" s="91"/>
      <c r="P128" s="91"/>
    </row>
    <row r="129" spans="1:13">
      <c r="D129" s="105">
        <f>SUM(D118:D128)</f>
        <v>-55010000.000000007</v>
      </c>
      <c r="E129" s="105">
        <f>SUM(E118:E127)</f>
        <v>-32122957.120000001</v>
      </c>
      <c r="F129" s="105">
        <f>SUM(F117:F128)</f>
        <v>-53147380.469999999</v>
      </c>
      <c r="G129" s="105">
        <f>SUM(G117:G127)</f>
        <v>-24720096.280000001</v>
      </c>
      <c r="H129" s="105">
        <f>SUM(H117:H127)</f>
        <v>-52304437</v>
      </c>
      <c r="I129" s="236">
        <f>SUM(I117:I128)</f>
        <v>-29014923.230000004</v>
      </c>
      <c r="J129" s="74">
        <f>SUM(J117:J128)</f>
        <v>-67543526.868210301</v>
      </c>
      <c r="K129" s="74"/>
      <c r="M129" s="38"/>
    </row>
    <row r="130" spans="1:13">
      <c r="D130" s="102"/>
      <c r="E130" s="102"/>
      <c r="F130" s="102"/>
      <c r="G130" s="102"/>
      <c r="H130" s="102"/>
      <c r="I130" s="239"/>
    </row>
    <row r="131" spans="1:13" s="71" customFormat="1">
      <c r="A131" s="71" t="s">
        <v>921</v>
      </c>
      <c r="D131" s="108"/>
      <c r="E131" s="108"/>
      <c r="F131" s="108"/>
      <c r="G131" s="108"/>
      <c r="H131" s="108"/>
      <c r="I131" s="238"/>
      <c r="J131" s="70"/>
      <c r="K131" s="70"/>
      <c r="L131" s="70"/>
    </row>
    <row r="132" spans="1:13">
      <c r="A132" s="79">
        <v>291</v>
      </c>
      <c r="B132" s="79">
        <v>1</v>
      </c>
      <c r="C132" s="79" t="s">
        <v>16</v>
      </c>
      <c r="D132" s="104">
        <v>4592668.5599999996</v>
      </c>
      <c r="E132" s="104">
        <v>3102460.92</v>
      </c>
      <c r="F132" s="104">
        <f>L132*5.8/100+L132</f>
        <v>4923605.4800399998</v>
      </c>
      <c r="G132" s="104">
        <v>2274015.35</v>
      </c>
      <c r="H132" s="104">
        <v>4997459.5622405997</v>
      </c>
      <c r="I132" s="235">
        <v>2274015.35</v>
      </c>
      <c r="J132" s="84">
        <f>SALARIES!J224</f>
        <v>5297307.1359750358</v>
      </c>
      <c r="K132" s="91"/>
      <c r="L132" s="165">
        <f t="shared" ref="L132:L143" si="19">+E132/8*12</f>
        <v>4653691.38</v>
      </c>
    </row>
    <row r="133" spans="1:13">
      <c r="A133" s="79">
        <v>291</v>
      </c>
      <c r="B133" s="79">
        <v>4</v>
      </c>
      <c r="C133" s="79" t="s">
        <v>58</v>
      </c>
      <c r="D133" s="104">
        <v>15289.38</v>
      </c>
      <c r="E133" s="104">
        <v>10165.17</v>
      </c>
      <c r="F133" s="104">
        <f t="shared" ref="F133:F143" si="20">L133*5.8/100+L133</f>
        <v>16132.124790000002</v>
      </c>
      <c r="G133" s="104">
        <v>6614.76</v>
      </c>
      <c r="H133" s="104">
        <v>16374.106661850001</v>
      </c>
      <c r="I133" s="235">
        <v>6614.76</v>
      </c>
      <c r="J133" s="84">
        <f>SALARIES!J225</f>
        <v>17356.553061561001</v>
      </c>
      <c r="K133" s="91"/>
      <c r="L133" s="165">
        <f t="shared" si="19"/>
        <v>15247.755000000001</v>
      </c>
    </row>
    <row r="134" spans="1:13">
      <c r="A134" s="79">
        <v>291</v>
      </c>
      <c r="B134" s="79">
        <v>6</v>
      </c>
      <c r="C134" s="79" t="s">
        <v>19</v>
      </c>
      <c r="D134" s="104">
        <v>95852.64</v>
      </c>
      <c r="E134" s="104">
        <v>68835.72</v>
      </c>
      <c r="F134" s="104">
        <f t="shared" si="20"/>
        <v>109242.28764</v>
      </c>
      <c r="G134" s="104">
        <v>39399.599999999999</v>
      </c>
      <c r="H134" s="104">
        <v>110880.92195459999</v>
      </c>
      <c r="I134" s="235">
        <v>39399.599999999999</v>
      </c>
      <c r="J134" s="84">
        <f>SALARIES!J226</f>
        <v>117533.777271876</v>
      </c>
      <c r="K134" s="91"/>
      <c r="L134" s="165">
        <f t="shared" si="19"/>
        <v>103253.58</v>
      </c>
    </row>
    <row r="135" spans="1:13" s="233" customFormat="1">
      <c r="A135" s="251">
        <v>291</v>
      </c>
      <c r="B135" s="251">
        <v>8</v>
      </c>
      <c r="C135" s="251" t="s">
        <v>173</v>
      </c>
      <c r="D135" s="104">
        <v>411103.18</v>
      </c>
      <c r="E135" s="104">
        <v>312440.95</v>
      </c>
      <c r="F135" s="104">
        <v>295843.78999999998</v>
      </c>
      <c r="G135" s="104">
        <v>239136.6</v>
      </c>
      <c r="H135" s="104">
        <v>500281.44</v>
      </c>
      <c r="I135" s="235">
        <v>239136.6</v>
      </c>
      <c r="J135" s="84">
        <f>SALARIES!J227</f>
        <v>530298.32640000002</v>
      </c>
      <c r="K135" s="286"/>
      <c r="L135" s="247">
        <f t="shared" si="19"/>
        <v>468661.42500000005</v>
      </c>
    </row>
    <row r="136" spans="1:13">
      <c r="A136" s="79">
        <v>291</v>
      </c>
      <c r="B136" s="79">
        <v>10</v>
      </c>
      <c r="C136" s="79" t="s">
        <v>22</v>
      </c>
      <c r="D136" s="104">
        <v>818244.72</v>
      </c>
      <c r="E136" s="104">
        <v>557261.78</v>
      </c>
      <c r="F136" s="104">
        <f t="shared" si="20"/>
        <v>884374.44486000005</v>
      </c>
      <c r="G136" s="104">
        <v>380414.17300000001</v>
      </c>
      <c r="H136" s="104">
        <v>897640.06153290009</v>
      </c>
      <c r="I136" s="235">
        <v>380414.17</v>
      </c>
      <c r="J136" s="84">
        <f>SALARIES!J228</f>
        <v>951498.46522487409</v>
      </c>
      <c r="K136" s="91"/>
      <c r="L136" s="165">
        <f t="shared" si="19"/>
        <v>835892.67</v>
      </c>
    </row>
    <row r="137" spans="1:13">
      <c r="A137" s="79">
        <v>291</v>
      </c>
      <c r="B137" s="79">
        <v>11</v>
      </c>
      <c r="C137" s="79" t="s">
        <v>24</v>
      </c>
      <c r="D137" s="104">
        <v>42297.599999999999</v>
      </c>
      <c r="E137" s="104">
        <v>29608.32</v>
      </c>
      <c r="F137" s="104">
        <f t="shared" si="20"/>
        <v>46988.403839999999</v>
      </c>
      <c r="G137" s="104">
        <v>71849.11</v>
      </c>
      <c r="H137" s="104">
        <v>47693.229897600002</v>
      </c>
      <c r="I137" s="235">
        <v>71849.11</v>
      </c>
      <c r="J137" s="84">
        <f>SALARIES!J229</f>
        <v>50554.823691456004</v>
      </c>
      <c r="K137" s="91"/>
      <c r="L137" s="165">
        <f t="shared" si="19"/>
        <v>44412.479999999996</v>
      </c>
    </row>
    <row r="138" spans="1:13">
      <c r="A138" s="79">
        <v>291</v>
      </c>
      <c r="B138" s="79">
        <v>13</v>
      </c>
      <c r="C138" s="79" t="s">
        <v>273</v>
      </c>
      <c r="D138" s="104">
        <v>136332.22</v>
      </c>
      <c r="E138" s="104">
        <v>116673.94</v>
      </c>
      <c r="F138" s="104">
        <v>473752.23</v>
      </c>
      <c r="G138" s="104">
        <v>116973.24</v>
      </c>
      <c r="H138" s="104">
        <v>480858.51627170003</v>
      </c>
      <c r="I138" s="235">
        <v>116973.24</v>
      </c>
      <c r="J138" s="84">
        <f>SALARIES!J230</f>
        <v>509710.02724800201</v>
      </c>
      <c r="K138" s="91"/>
      <c r="L138" s="165">
        <f t="shared" si="19"/>
        <v>175010.91</v>
      </c>
    </row>
    <row r="139" spans="1:13">
      <c r="A139" s="79">
        <v>291</v>
      </c>
      <c r="B139" s="79">
        <v>16</v>
      </c>
      <c r="C139" s="79" t="s">
        <v>27</v>
      </c>
      <c r="D139" s="104">
        <v>49607.34</v>
      </c>
      <c r="E139" s="104">
        <v>34963.519999999997</v>
      </c>
      <c r="F139" s="104">
        <f t="shared" si="20"/>
        <v>55487.106240000001</v>
      </c>
      <c r="G139" s="104">
        <v>27578.85</v>
      </c>
      <c r="H139" s="104">
        <v>56319.412833599999</v>
      </c>
      <c r="I139" s="235">
        <v>27578.85</v>
      </c>
      <c r="J139" s="84">
        <f>SALARIES!J231</f>
        <v>59698.577603616002</v>
      </c>
      <c r="K139" s="91"/>
      <c r="L139" s="165">
        <f t="shared" si="19"/>
        <v>52445.279999999999</v>
      </c>
    </row>
    <row r="140" spans="1:13">
      <c r="A140" s="79">
        <v>291</v>
      </c>
      <c r="B140" s="79">
        <v>17</v>
      </c>
      <c r="C140" s="79" t="s">
        <v>29</v>
      </c>
      <c r="D140" s="104">
        <v>12038.4</v>
      </c>
      <c r="E140" s="104">
        <v>8276.4</v>
      </c>
      <c r="F140" s="104">
        <v>33134.65</v>
      </c>
      <c r="G140" s="104">
        <v>7524</v>
      </c>
      <c r="H140" s="104">
        <v>33631.666502</v>
      </c>
      <c r="I140" s="235">
        <v>7524</v>
      </c>
      <c r="J140" s="84">
        <f>SALARIES!J232</f>
        <v>35649.56649212</v>
      </c>
      <c r="K140" s="91"/>
      <c r="L140" s="165">
        <f t="shared" si="19"/>
        <v>12414.599999999999</v>
      </c>
    </row>
    <row r="141" spans="1:13">
      <c r="A141" s="79">
        <v>291</v>
      </c>
      <c r="B141" s="79">
        <v>18</v>
      </c>
      <c r="C141" s="79" t="s">
        <v>31</v>
      </c>
      <c r="D141" s="104">
        <v>338037.64</v>
      </c>
      <c r="E141" s="104">
        <v>217120.42</v>
      </c>
      <c r="F141" s="104">
        <f t="shared" si="20"/>
        <v>344570.10654000001</v>
      </c>
      <c r="G141" s="104">
        <v>142807.67999999999</v>
      </c>
      <c r="H141" s="104">
        <v>349738.6581381</v>
      </c>
      <c r="I141" s="235">
        <v>142807.67999999999</v>
      </c>
      <c r="J141" s="84">
        <f>SALARIES!J233</f>
        <v>370722.97762638598</v>
      </c>
      <c r="K141" s="91"/>
      <c r="L141" s="165">
        <f t="shared" si="19"/>
        <v>325680.63</v>
      </c>
    </row>
    <row r="142" spans="1:13">
      <c r="A142" s="79">
        <v>291</v>
      </c>
      <c r="B142" s="79">
        <v>102</v>
      </c>
      <c r="C142" s="79" t="s">
        <v>66</v>
      </c>
      <c r="D142" s="104">
        <v>48395.6</v>
      </c>
      <c r="E142" s="104">
        <v>34092.400000000001</v>
      </c>
      <c r="F142" s="104">
        <f t="shared" si="20"/>
        <v>54104.638800000008</v>
      </c>
      <c r="G142" s="104">
        <v>27604.58</v>
      </c>
      <c r="H142" s="104">
        <v>54916.208382000012</v>
      </c>
      <c r="I142" s="235">
        <v>27604.58</v>
      </c>
      <c r="J142" s="84">
        <f>SALARIES!J234</f>
        <v>58211.18088492001</v>
      </c>
      <c r="K142" s="91"/>
      <c r="L142" s="165">
        <f t="shared" si="19"/>
        <v>51138.600000000006</v>
      </c>
    </row>
    <row r="143" spans="1:13">
      <c r="A143" s="79">
        <v>291</v>
      </c>
      <c r="B143" s="79">
        <v>104</v>
      </c>
      <c r="C143" s="79" t="s">
        <v>34</v>
      </c>
      <c r="D143" s="104">
        <v>4081.56</v>
      </c>
      <c r="E143" s="104">
        <v>2951.68</v>
      </c>
      <c r="F143" s="104">
        <f t="shared" si="20"/>
        <v>4684.3161599999994</v>
      </c>
      <c r="G143" s="104">
        <v>2596.15</v>
      </c>
      <c r="H143" s="104">
        <v>4754.5809023999991</v>
      </c>
      <c r="I143" s="235">
        <v>2596.15</v>
      </c>
      <c r="J143" s="84">
        <f>SALARIES!J235</f>
        <v>5039.8557565439987</v>
      </c>
      <c r="K143" s="91"/>
      <c r="L143" s="165">
        <f t="shared" si="19"/>
        <v>4427.5199999999995</v>
      </c>
    </row>
    <row r="144" spans="1:13">
      <c r="D144" s="105">
        <f t="shared" ref="D144:J144" si="21">SUM(D132:D143)</f>
        <v>6563948.8399999971</v>
      </c>
      <c r="E144" s="105">
        <f t="shared" si="21"/>
        <v>4494851.22</v>
      </c>
      <c r="F144" s="105">
        <f t="shared" si="21"/>
        <v>7241919.5789099997</v>
      </c>
      <c r="G144" s="105">
        <f t="shared" si="21"/>
        <v>3336514.0930000003</v>
      </c>
      <c r="H144" s="105">
        <f t="shared" si="21"/>
        <v>7550548.3653173503</v>
      </c>
      <c r="I144" s="236">
        <f t="shared" si="21"/>
        <v>3336514.0900000003</v>
      </c>
      <c r="J144" s="74">
        <f t="shared" si="21"/>
        <v>8003581.2672363892</v>
      </c>
      <c r="K144" s="74"/>
      <c r="M144" s="38"/>
    </row>
    <row r="145" spans="1:13">
      <c r="A145" s="71" t="s">
        <v>1017</v>
      </c>
      <c r="D145" s="105"/>
      <c r="E145" s="105"/>
      <c r="F145" s="105"/>
      <c r="G145" s="105"/>
      <c r="H145" s="105"/>
      <c r="I145" s="236"/>
      <c r="J145" s="74"/>
      <c r="K145" s="74"/>
      <c r="M145" s="38"/>
    </row>
    <row r="146" spans="1:13">
      <c r="A146" s="79">
        <v>291</v>
      </c>
      <c r="B146" s="79">
        <v>117</v>
      </c>
      <c r="C146" s="79" t="s">
        <v>338</v>
      </c>
      <c r="D146" s="104">
        <v>1000000</v>
      </c>
      <c r="E146" s="104">
        <v>4804932.5999999996</v>
      </c>
      <c r="F146" s="104">
        <v>5961559</v>
      </c>
      <c r="G146" s="104">
        <v>2489946.2599999998</v>
      </c>
      <c r="H146" s="104">
        <f>'NON CASH'!H28</f>
        <v>5961559</v>
      </c>
      <c r="I146" s="235">
        <v>2486772.73</v>
      </c>
      <c r="J146" s="84">
        <f>5793132.14+636369.65</f>
        <v>6429501.79</v>
      </c>
      <c r="K146" s="91"/>
    </row>
    <row r="147" spans="1:13">
      <c r="D147" s="105"/>
      <c r="E147" s="105"/>
      <c r="F147" s="105">
        <f>F146</f>
        <v>5961559</v>
      </c>
      <c r="G147" s="105">
        <f>G146</f>
        <v>2489946.2599999998</v>
      </c>
      <c r="H147" s="105">
        <f>H146</f>
        <v>5961559</v>
      </c>
      <c r="I147" s="236">
        <f>I146</f>
        <v>2486772.73</v>
      </c>
      <c r="J147" s="74">
        <f>J146</f>
        <v>6429501.79</v>
      </c>
      <c r="K147" s="74"/>
      <c r="M147" s="38"/>
    </row>
    <row r="148" spans="1:13">
      <c r="A148" s="71" t="s">
        <v>44</v>
      </c>
      <c r="D148" s="105"/>
      <c r="E148" s="105"/>
      <c r="F148" s="105"/>
      <c r="G148" s="105"/>
      <c r="H148" s="105"/>
      <c r="I148" s="236"/>
      <c r="J148" s="74"/>
      <c r="K148" s="74"/>
      <c r="M148" s="38"/>
    </row>
    <row r="149" spans="1:13">
      <c r="A149" s="79">
        <v>291</v>
      </c>
      <c r="B149" s="79">
        <v>210</v>
      </c>
      <c r="C149" s="79" t="s">
        <v>44</v>
      </c>
      <c r="D149" s="104">
        <v>9558645.8499999996</v>
      </c>
      <c r="E149" s="104">
        <v>0</v>
      </c>
      <c r="F149" s="104">
        <f>'NON CASH'!G17</f>
        <v>9749818.7669999991</v>
      </c>
      <c r="G149" s="104">
        <v>0</v>
      </c>
      <c r="H149" s="104">
        <f>'NON CASH'!H17</f>
        <v>10237309.705349999</v>
      </c>
      <c r="I149" s="235"/>
      <c r="J149" s="84">
        <f>'NON CASH'!I17</f>
        <v>10442055.899456998</v>
      </c>
      <c r="K149" s="91"/>
      <c r="L149" s="165">
        <f>+E149/8*12</f>
        <v>0</v>
      </c>
    </row>
    <row r="150" spans="1:13">
      <c r="D150" s="105"/>
      <c r="E150" s="105"/>
      <c r="F150" s="105">
        <f>F149</f>
        <v>9749818.7669999991</v>
      </c>
      <c r="G150" s="105">
        <f>G149</f>
        <v>0</v>
      </c>
      <c r="H150" s="105">
        <f>H149</f>
        <v>10237309.705349999</v>
      </c>
      <c r="I150" s="236">
        <f>I149</f>
        <v>0</v>
      </c>
      <c r="J150" s="74">
        <f>J149</f>
        <v>10442055.899456998</v>
      </c>
      <c r="K150" s="74"/>
      <c r="M150" s="38"/>
    </row>
    <row r="151" spans="1:13">
      <c r="A151" s="71" t="s">
        <v>1029</v>
      </c>
      <c r="D151" s="105"/>
      <c r="E151" s="105"/>
      <c r="F151" s="105"/>
      <c r="G151" s="105"/>
      <c r="H151" s="105"/>
      <c r="I151" s="236"/>
      <c r="J151" s="74"/>
      <c r="K151" s="74"/>
      <c r="M151" s="38"/>
    </row>
    <row r="152" spans="1:13">
      <c r="A152" s="79">
        <v>291</v>
      </c>
      <c r="B152" s="79">
        <v>256</v>
      </c>
      <c r="C152" s="79" t="s">
        <v>350</v>
      </c>
      <c r="D152" s="104">
        <v>5000000</v>
      </c>
      <c r="E152" s="104">
        <v>4221848.96</v>
      </c>
      <c r="F152" s="104">
        <v>8138078</v>
      </c>
      <c r="G152" s="104">
        <v>1888828.04</v>
      </c>
      <c r="H152" s="104">
        <f>'FREE BASIC CHARGE'!H6</f>
        <v>3777656</v>
      </c>
      <c r="I152" s="235">
        <v>2362785.7000000002</v>
      </c>
      <c r="J152" s="84">
        <v>4050489.7714285715</v>
      </c>
      <c r="K152" s="91">
        <f>I152/7*12</f>
        <v>4050489.7714285715</v>
      </c>
      <c r="L152" s="165">
        <f>+E152/8*12</f>
        <v>6332773.4399999995</v>
      </c>
    </row>
    <row r="153" spans="1:13">
      <c r="D153" s="105"/>
      <c r="E153" s="105"/>
      <c r="F153" s="105">
        <f>F152</f>
        <v>8138078</v>
      </c>
      <c r="G153" s="105">
        <f>G152</f>
        <v>1888828.04</v>
      </c>
      <c r="H153" s="105">
        <f>H152</f>
        <v>3777656</v>
      </c>
      <c r="I153" s="236">
        <f>I152</f>
        <v>2362785.7000000002</v>
      </c>
      <c r="J153" s="74">
        <f>J152</f>
        <v>4050489.7714285715</v>
      </c>
      <c r="K153" s="74"/>
      <c r="M153" s="38"/>
    </row>
    <row r="154" spans="1:13">
      <c r="D154" s="105"/>
      <c r="E154" s="105"/>
      <c r="F154" s="105"/>
      <c r="G154" s="105"/>
      <c r="H154" s="105"/>
      <c r="I154" s="236"/>
      <c r="J154" s="74"/>
      <c r="K154" s="74"/>
      <c r="M154" s="38"/>
    </row>
    <row r="155" spans="1:13" s="71" customFormat="1">
      <c r="A155" s="71" t="s">
        <v>927</v>
      </c>
      <c r="D155" s="108"/>
      <c r="E155" s="108"/>
      <c r="F155" s="108"/>
      <c r="G155" s="108"/>
      <c r="H155" s="108"/>
      <c r="I155" s="238"/>
      <c r="J155" s="70"/>
      <c r="K155" s="70"/>
      <c r="L155" s="70"/>
    </row>
    <row r="156" spans="1:13" s="248" customFormat="1">
      <c r="A156" s="81">
        <v>291</v>
      </c>
      <c r="B156" s="81">
        <v>264</v>
      </c>
      <c r="C156" s="81" t="s">
        <v>1099</v>
      </c>
      <c r="D156" s="109"/>
      <c r="E156" s="109"/>
      <c r="F156" s="109">
        <v>0</v>
      </c>
      <c r="G156" s="109">
        <v>113.68</v>
      </c>
      <c r="H156" s="109">
        <v>0</v>
      </c>
      <c r="I156" s="240">
        <v>113.68</v>
      </c>
      <c r="J156" s="82">
        <v>0</v>
      </c>
      <c r="K156" s="288">
        <f t="shared" ref="K156:K161" si="22">I156/7*12</f>
        <v>194.88000000000002</v>
      </c>
      <c r="L156" s="54"/>
    </row>
    <row r="157" spans="1:13">
      <c r="A157" s="79">
        <v>291</v>
      </c>
      <c r="B157" s="79">
        <v>270</v>
      </c>
      <c r="C157" s="79" t="s">
        <v>596</v>
      </c>
      <c r="D157" s="104">
        <v>432000</v>
      </c>
      <c r="E157" s="104">
        <v>230745.8</v>
      </c>
      <c r="F157" s="104">
        <v>500000</v>
      </c>
      <c r="G157" s="104">
        <v>58337.57</v>
      </c>
      <c r="H157" s="104">
        <f>RME!H33</f>
        <v>500000</v>
      </c>
      <c r="I157" s="235">
        <v>58337.57</v>
      </c>
      <c r="J157" s="84">
        <v>600000</v>
      </c>
      <c r="K157" s="288">
        <f t="shared" si="22"/>
        <v>100007.26285714285</v>
      </c>
      <c r="L157" s="165">
        <f>+E157/8*12</f>
        <v>346118.69999999995</v>
      </c>
    </row>
    <row r="158" spans="1:13">
      <c r="A158" s="79">
        <v>291</v>
      </c>
      <c r="B158" s="79">
        <v>278</v>
      </c>
      <c r="C158" s="79" t="s">
        <v>218</v>
      </c>
      <c r="D158" s="104">
        <v>300</v>
      </c>
      <c r="E158" s="104">
        <v>306.20999999999998</v>
      </c>
      <c r="F158" s="104">
        <v>0</v>
      </c>
      <c r="G158" s="104"/>
      <c r="H158" s="104">
        <f>RME!H34</f>
        <v>0</v>
      </c>
      <c r="I158" s="235"/>
      <c r="J158" s="84">
        <v>0</v>
      </c>
      <c r="K158" s="288">
        <f t="shared" si="22"/>
        <v>0</v>
      </c>
      <c r="L158" s="165">
        <f>+E158/8*12</f>
        <v>459.31499999999994</v>
      </c>
    </row>
    <row r="159" spans="1:13">
      <c r="A159" s="79">
        <v>291</v>
      </c>
      <c r="B159" s="79">
        <v>280</v>
      </c>
      <c r="C159" s="79" t="s">
        <v>551</v>
      </c>
      <c r="D159" s="104">
        <v>1600000</v>
      </c>
      <c r="E159" s="104">
        <v>245612.96</v>
      </c>
      <c r="F159" s="104">
        <v>600000</v>
      </c>
      <c r="G159" s="104">
        <v>262117.95</v>
      </c>
      <c r="H159" s="104">
        <f>RME!H35</f>
        <v>500000</v>
      </c>
      <c r="I159" s="235">
        <v>262117.95</v>
      </c>
      <c r="J159" s="84">
        <v>600000</v>
      </c>
      <c r="K159" s="288">
        <f t="shared" si="22"/>
        <v>449345.05714285723</v>
      </c>
      <c r="L159" s="165">
        <f>+E159/8*12</f>
        <v>368419.44</v>
      </c>
    </row>
    <row r="160" spans="1:13">
      <c r="A160" s="79">
        <v>291</v>
      </c>
      <c r="B160" s="79">
        <v>284</v>
      </c>
      <c r="C160" s="79" t="s">
        <v>221</v>
      </c>
      <c r="D160" s="104">
        <v>263000</v>
      </c>
      <c r="E160" s="104">
        <v>186661.58</v>
      </c>
      <c r="F160" s="104">
        <v>263000</v>
      </c>
      <c r="G160" s="104">
        <v>105632.15</v>
      </c>
      <c r="H160" s="104">
        <f>RME!H36</f>
        <v>467000</v>
      </c>
      <c r="I160" s="235">
        <v>109525.11</v>
      </c>
      <c r="J160" s="84">
        <v>550000</v>
      </c>
      <c r="K160" s="288">
        <f t="shared" si="22"/>
        <v>187757.33142857143</v>
      </c>
      <c r="L160" s="165">
        <f>+E160/8*12</f>
        <v>279992.37</v>
      </c>
    </row>
    <row r="161" spans="1:13" s="233" customFormat="1">
      <c r="A161" s="251">
        <v>291</v>
      </c>
      <c r="B161" s="251">
        <v>292</v>
      </c>
      <c r="C161" s="251" t="s">
        <v>1100</v>
      </c>
      <c r="D161" s="104"/>
      <c r="E161" s="104"/>
      <c r="F161" s="104">
        <v>0</v>
      </c>
      <c r="G161" s="104">
        <v>-608.88</v>
      </c>
      <c r="H161" s="104">
        <v>0</v>
      </c>
      <c r="I161" s="235">
        <v>-608.88</v>
      </c>
      <c r="J161" s="83">
        <v>10000</v>
      </c>
      <c r="K161" s="288">
        <f t="shared" si="22"/>
        <v>-1043.7942857142857</v>
      </c>
      <c r="L161" s="232"/>
    </row>
    <row r="162" spans="1:13">
      <c r="D162" s="105">
        <f t="shared" ref="D162:I162" si="23">SUM(D157:D160)</f>
        <v>2295300</v>
      </c>
      <c r="E162" s="105">
        <f t="shared" si="23"/>
        <v>663326.54999999993</v>
      </c>
      <c r="F162" s="105">
        <f>SUM(F156:F161)</f>
        <v>1363000</v>
      </c>
      <c r="G162" s="105">
        <f t="shared" si="23"/>
        <v>426087.67000000004</v>
      </c>
      <c r="H162" s="105">
        <f t="shared" si="23"/>
        <v>1467000</v>
      </c>
      <c r="I162" s="236">
        <f t="shared" si="23"/>
        <v>429980.63</v>
      </c>
      <c r="J162" s="74">
        <f>SUM(J157:J161)</f>
        <v>1760000</v>
      </c>
      <c r="K162" s="74"/>
      <c r="M162" s="38"/>
    </row>
    <row r="163" spans="1:13">
      <c r="D163" s="105"/>
      <c r="E163" s="105"/>
      <c r="F163" s="105"/>
      <c r="G163" s="105"/>
      <c r="H163" s="105"/>
      <c r="I163" s="236"/>
      <c r="J163" s="74"/>
      <c r="K163" s="74"/>
    </row>
    <row r="164" spans="1:13" s="71" customFormat="1">
      <c r="A164" s="71" t="s">
        <v>924</v>
      </c>
      <c r="D164" s="108"/>
      <c r="E164" s="108"/>
      <c r="F164" s="108"/>
      <c r="G164" s="108"/>
      <c r="H164" s="108"/>
      <c r="I164" s="238"/>
      <c r="J164" s="70"/>
      <c r="K164" s="70"/>
      <c r="L164" s="70"/>
    </row>
    <row r="165" spans="1:13">
      <c r="A165" s="79">
        <v>291</v>
      </c>
      <c r="B165" s="79">
        <v>123</v>
      </c>
      <c r="C165" s="79" t="s">
        <v>187</v>
      </c>
      <c r="D165" s="104">
        <v>400000</v>
      </c>
      <c r="E165" s="104">
        <v>308164.64</v>
      </c>
      <c r="F165" s="104">
        <v>263000</v>
      </c>
      <c r="G165" s="104">
        <v>10134.36</v>
      </c>
      <c r="H165" s="104">
        <v>100000</v>
      </c>
      <c r="I165" s="235">
        <v>10134.36</v>
      </c>
      <c r="J165" s="84">
        <v>100000</v>
      </c>
      <c r="K165" s="91">
        <f>I165/7*12</f>
        <v>17373.188571428575</v>
      </c>
      <c r="L165" s="165">
        <f>+E165/8*12</f>
        <v>462246.96</v>
      </c>
    </row>
    <row r="166" spans="1:13">
      <c r="A166" s="79">
        <v>291</v>
      </c>
      <c r="B166" s="79">
        <v>127</v>
      </c>
      <c r="C166" s="79" t="s">
        <v>507</v>
      </c>
      <c r="D166" s="104">
        <v>1000</v>
      </c>
      <c r="E166" s="104">
        <v>82.98</v>
      </c>
      <c r="F166" s="104">
        <v>400000</v>
      </c>
      <c r="G166" s="104">
        <v>41.49</v>
      </c>
      <c r="H166" s="104">
        <v>200000</v>
      </c>
      <c r="I166" s="235">
        <v>41.49</v>
      </c>
      <c r="J166" s="84">
        <v>200000</v>
      </c>
      <c r="K166" s="91">
        <f t="shared" ref="K166:K173" si="24">I166/7*12</f>
        <v>71.125714285714281</v>
      </c>
      <c r="L166" s="165">
        <f>+E166/8*12</f>
        <v>124.47</v>
      </c>
    </row>
    <row r="167" spans="1:13">
      <c r="A167" s="337">
        <v>291</v>
      </c>
      <c r="B167" s="337">
        <v>135</v>
      </c>
      <c r="C167" s="337" t="s">
        <v>189</v>
      </c>
      <c r="D167" s="338">
        <v>200000</v>
      </c>
      <c r="E167" s="338">
        <v>170386.04</v>
      </c>
      <c r="F167" s="338">
        <v>300000</v>
      </c>
      <c r="G167" s="338">
        <v>167135.62</v>
      </c>
      <c r="H167" s="338">
        <v>300000</v>
      </c>
      <c r="I167" s="338">
        <v>200880.57</v>
      </c>
      <c r="J167" s="338">
        <v>3000000</v>
      </c>
      <c r="K167" s="91">
        <f t="shared" si="24"/>
        <v>344366.69142857147</v>
      </c>
      <c r="L167" s="165">
        <f>+E167/8*12</f>
        <v>255579.06</v>
      </c>
    </row>
    <row r="168" spans="1:13">
      <c r="A168" s="79">
        <v>291</v>
      </c>
      <c r="B168" s="79">
        <v>175</v>
      </c>
      <c r="C168" s="79" t="s">
        <v>195</v>
      </c>
      <c r="D168" s="104">
        <v>5000</v>
      </c>
      <c r="E168" s="104">
        <v>9768.07</v>
      </c>
      <c r="F168" s="104">
        <v>15000</v>
      </c>
      <c r="G168" s="104">
        <v>2036.23</v>
      </c>
      <c r="H168" s="104">
        <v>15000</v>
      </c>
      <c r="I168" s="235">
        <v>13856.3</v>
      </c>
      <c r="J168" s="84">
        <v>20000</v>
      </c>
      <c r="K168" s="91">
        <f t="shared" si="24"/>
        <v>23753.657142857141</v>
      </c>
      <c r="L168" s="165">
        <f>+E168/8*12</f>
        <v>14652.105</v>
      </c>
    </row>
    <row r="169" spans="1:13">
      <c r="A169" s="79">
        <v>291</v>
      </c>
      <c r="B169" s="79">
        <v>195</v>
      </c>
      <c r="C169" s="79" t="s">
        <v>38</v>
      </c>
      <c r="D169" s="104">
        <v>5000</v>
      </c>
      <c r="E169" s="104">
        <v>3523.87</v>
      </c>
      <c r="F169" s="104">
        <v>20000</v>
      </c>
      <c r="G169" s="104">
        <v>12266.18</v>
      </c>
      <c r="H169" s="104">
        <v>33033</v>
      </c>
      <c r="I169" s="235">
        <v>12266.18</v>
      </c>
      <c r="J169" s="84">
        <v>30000</v>
      </c>
      <c r="K169" s="91">
        <f t="shared" si="24"/>
        <v>21027.737142857142</v>
      </c>
      <c r="L169" s="165">
        <f>+E169/8*12</f>
        <v>5285.8050000000003</v>
      </c>
    </row>
    <row r="170" spans="1:13">
      <c r="A170" s="79">
        <v>291</v>
      </c>
      <c r="B170" s="79">
        <v>208</v>
      </c>
      <c r="C170" s="79" t="s">
        <v>1101</v>
      </c>
      <c r="D170" s="104"/>
      <c r="E170" s="104"/>
      <c r="F170" s="104">
        <v>0</v>
      </c>
      <c r="G170" s="104">
        <v>6000</v>
      </c>
      <c r="H170" s="104">
        <v>12000</v>
      </c>
      <c r="I170" s="235">
        <v>6000</v>
      </c>
      <c r="J170" s="84">
        <v>12000</v>
      </c>
      <c r="K170" s="91">
        <f t="shared" si="24"/>
        <v>10285.714285714286</v>
      </c>
      <c r="L170" s="165"/>
    </row>
    <row r="171" spans="1:13">
      <c r="A171" s="79">
        <v>291</v>
      </c>
      <c r="B171" s="79">
        <v>262</v>
      </c>
      <c r="C171" s="79" t="s">
        <v>212</v>
      </c>
      <c r="D171" s="104">
        <v>159000</v>
      </c>
      <c r="E171" s="104">
        <v>1017.72</v>
      </c>
      <c r="F171" s="104">
        <v>0</v>
      </c>
      <c r="G171" s="104">
        <v>1109.82</v>
      </c>
      <c r="H171" s="104">
        <v>0</v>
      </c>
      <c r="I171" s="235">
        <v>1109.82</v>
      </c>
      <c r="J171" s="84">
        <v>0</v>
      </c>
      <c r="K171" s="91">
        <f t="shared" si="24"/>
        <v>1902.5485714285712</v>
      </c>
      <c r="L171" s="165">
        <f>+E171/8*12</f>
        <v>1526.58</v>
      </c>
    </row>
    <row r="172" spans="1:13">
      <c r="A172" s="79">
        <v>291</v>
      </c>
      <c r="B172" s="79">
        <v>294</v>
      </c>
      <c r="C172" s="79" t="s">
        <v>601</v>
      </c>
      <c r="D172" s="104">
        <v>570000</v>
      </c>
      <c r="E172" s="104">
        <v>237170</v>
      </c>
      <c r="F172" s="104">
        <v>500000</v>
      </c>
      <c r="G172" s="104">
        <v>267728</v>
      </c>
      <c r="H172" s="104">
        <v>500000</v>
      </c>
      <c r="I172" s="235">
        <v>267728</v>
      </c>
      <c r="J172" s="84">
        <v>500000</v>
      </c>
      <c r="K172" s="91">
        <f t="shared" si="24"/>
        <v>458962.28571428574</v>
      </c>
      <c r="L172" s="165">
        <f>+E172/8*12</f>
        <v>355755</v>
      </c>
    </row>
    <row r="173" spans="1:13">
      <c r="A173" s="79">
        <v>291</v>
      </c>
      <c r="B173" s="79">
        <v>461</v>
      </c>
      <c r="C173" s="79" t="s">
        <v>484</v>
      </c>
      <c r="D173" s="104">
        <v>600000</v>
      </c>
      <c r="E173" s="104">
        <v>183681.54</v>
      </c>
      <c r="F173" s="104">
        <v>800000</v>
      </c>
      <c r="G173" s="104">
        <v>231000</v>
      </c>
      <c r="H173" s="104">
        <v>800000</v>
      </c>
      <c r="I173" s="235">
        <v>231000</v>
      </c>
      <c r="J173" s="84">
        <v>400000</v>
      </c>
      <c r="K173" s="91">
        <f t="shared" si="24"/>
        <v>396000</v>
      </c>
      <c r="L173" s="165">
        <f>+E173/8*12</f>
        <v>275522.31</v>
      </c>
    </row>
    <row r="174" spans="1:13">
      <c r="D174" s="105">
        <f>SUM(D146:D172)</f>
        <v>21489245.850000001</v>
      </c>
      <c r="E174" s="105">
        <f>SUM(E146:E172)</f>
        <v>11083547.980000002</v>
      </c>
      <c r="F174" s="105">
        <f>SUM(F165:F173)</f>
        <v>2298000</v>
      </c>
      <c r="G174" s="105">
        <f>SUM(G165:G173)</f>
        <v>697451.7</v>
      </c>
      <c r="H174" s="105">
        <f>SUM(H165:H173)</f>
        <v>1960033</v>
      </c>
      <c r="I174" s="236">
        <f>SUM(I165:I173)</f>
        <v>743016.72</v>
      </c>
      <c r="J174" s="74">
        <f>SUM(J165:J173)</f>
        <v>4262000</v>
      </c>
      <c r="K174" s="74"/>
      <c r="M174" s="38"/>
    </row>
    <row r="175" spans="1:13" s="71" customFormat="1">
      <c r="A175" s="71" t="s">
        <v>928</v>
      </c>
      <c r="D175" s="108"/>
      <c r="E175" s="108"/>
      <c r="F175" s="108"/>
      <c r="G175" s="108"/>
      <c r="H175" s="108"/>
      <c r="I175" s="238"/>
      <c r="J175" s="70"/>
      <c r="K175" s="70"/>
      <c r="L175" s="70"/>
    </row>
    <row r="176" spans="1:13" s="71" customFormat="1">
      <c r="A176" s="86"/>
      <c r="B176" s="86"/>
      <c r="C176" s="79" t="s">
        <v>983</v>
      </c>
      <c r="D176" s="110"/>
      <c r="E176" s="110"/>
      <c r="F176" s="110">
        <v>4900000</v>
      </c>
      <c r="G176" s="110"/>
      <c r="H176" s="110">
        <f>CAPITAL!F27</f>
        <v>4900000</v>
      </c>
      <c r="I176" s="242"/>
      <c r="J176" s="87"/>
      <c r="K176" s="73"/>
      <c r="L176" s="70"/>
    </row>
    <row r="177" spans="1:16">
      <c r="A177" s="79">
        <v>291</v>
      </c>
      <c r="B177" s="79">
        <v>350</v>
      </c>
      <c r="C177" s="79" t="s">
        <v>603</v>
      </c>
      <c r="D177" s="104">
        <v>1970009.32</v>
      </c>
      <c r="E177" s="104">
        <v>0</v>
      </c>
      <c r="F177" s="104">
        <v>0</v>
      </c>
      <c r="G177" s="104"/>
      <c r="H177" s="104"/>
      <c r="I177" s="235"/>
      <c r="J177" s="84"/>
      <c r="K177" s="91"/>
    </row>
    <row r="178" spans="1:16">
      <c r="A178" s="79">
        <v>291</v>
      </c>
      <c r="B178" s="79">
        <v>352</v>
      </c>
      <c r="C178" s="79" t="s">
        <v>604</v>
      </c>
      <c r="D178" s="104">
        <v>0</v>
      </c>
      <c r="E178" s="104">
        <v>225000</v>
      </c>
      <c r="F178" s="104">
        <v>10510442.539999999</v>
      </c>
      <c r="G178" s="104">
        <v>3063895.95</v>
      </c>
      <c r="H178" s="104">
        <f>CAPITAL!F23</f>
        <v>4983091.53</v>
      </c>
      <c r="I178" s="235">
        <v>3552198.03</v>
      </c>
      <c r="J178" s="84">
        <f>CAPITAL!G23</f>
        <v>279103.03000000003</v>
      </c>
      <c r="K178" s="91"/>
    </row>
    <row r="179" spans="1:16">
      <c r="A179" s="79">
        <v>291</v>
      </c>
      <c r="B179" s="79">
        <v>463</v>
      </c>
      <c r="C179" s="79" t="s">
        <v>606</v>
      </c>
      <c r="D179" s="104">
        <v>0</v>
      </c>
      <c r="E179" s="104">
        <v>67118.41</v>
      </c>
      <c r="F179" s="104">
        <v>156709.03</v>
      </c>
      <c r="G179" s="104">
        <v>66342.77</v>
      </c>
      <c r="H179" s="104">
        <f>CAPITAL!F25</f>
        <v>1100279.76</v>
      </c>
      <c r="I179" s="235">
        <v>66342.77</v>
      </c>
      <c r="J179" s="84"/>
      <c r="K179" s="91"/>
    </row>
    <row r="180" spans="1:16">
      <c r="D180" s="105">
        <f>SUM(D177:D179)</f>
        <v>1970009.32</v>
      </c>
      <c r="E180" s="105">
        <f>SUM(E177:E179)</f>
        <v>292118.41000000003</v>
      </c>
      <c r="F180" s="105">
        <f>SUM(F176:F179)</f>
        <v>15567151.569999998</v>
      </c>
      <c r="G180" s="105">
        <f>SUM(G176:G179)</f>
        <v>3130238.72</v>
      </c>
      <c r="H180" s="105">
        <f>SUM(H176:H179)</f>
        <v>10983371.290000001</v>
      </c>
      <c r="I180" s="236">
        <f>SUM(I176:I179)</f>
        <v>3618540.8</v>
      </c>
      <c r="J180" s="74">
        <f>SUM(J176:J179)</f>
        <v>279103.03000000003</v>
      </c>
      <c r="K180" s="74"/>
    </row>
    <row r="181" spans="1:16">
      <c r="D181" s="102"/>
      <c r="E181" s="102"/>
      <c r="F181" s="102"/>
      <c r="G181" s="102"/>
      <c r="H181" s="102"/>
      <c r="I181" s="239"/>
    </row>
    <row r="182" spans="1:16" s="71" customFormat="1">
      <c r="A182" s="71" t="s">
        <v>923</v>
      </c>
      <c r="D182" s="108"/>
      <c r="E182" s="108"/>
      <c r="F182" s="108"/>
      <c r="G182" s="108"/>
      <c r="H182" s="108"/>
      <c r="I182" s="238"/>
      <c r="J182" s="70"/>
      <c r="K182" s="70"/>
      <c r="L182" s="70"/>
    </row>
    <row r="183" spans="1:16" s="71" customFormat="1">
      <c r="A183" s="86"/>
      <c r="B183" s="86"/>
      <c r="C183" s="86" t="s">
        <v>984</v>
      </c>
      <c r="D183" s="110"/>
      <c r="E183" s="110"/>
      <c r="F183" s="110">
        <v>-4900000</v>
      </c>
      <c r="G183" s="110"/>
      <c r="H183" s="110">
        <f>GRANTS!H32</f>
        <v>-4900000</v>
      </c>
      <c r="I183" s="242"/>
      <c r="J183" s="87">
        <v>0</v>
      </c>
      <c r="K183" s="73"/>
      <c r="L183" s="70"/>
    </row>
    <row r="184" spans="1:16" ht="15.75" thickBot="1">
      <c r="A184" s="79">
        <v>291</v>
      </c>
      <c r="B184" s="79">
        <v>8875</v>
      </c>
      <c r="C184" s="79" t="s">
        <v>121</v>
      </c>
      <c r="D184" s="104"/>
      <c r="E184" s="104">
        <v>0</v>
      </c>
      <c r="F184" s="104">
        <f>GRANTS!G33</f>
        <v>-8138078</v>
      </c>
      <c r="G184" s="104">
        <v>0</v>
      </c>
      <c r="H184" s="104">
        <f>GRANTS!H33</f>
        <v>-8138078</v>
      </c>
      <c r="I184" s="235">
        <v>0</v>
      </c>
      <c r="J184" s="84">
        <f>GRANTS!I33</f>
        <v>-8138078</v>
      </c>
      <c r="K184" s="91"/>
      <c r="M184" s="38"/>
    </row>
    <row r="185" spans="1:16" ht="15.75" thickBot="1">
      <c r="A185" s="79">
        <v>291</v>
      </c>
      <c r="B185" s="79">
        <v>8877</v>
      </c>
      <c r="C185" s="79" t="s">
        <v>147</v>
      </c>
      <c r="D185" s="104">
        <v>-3693940.97</v>
      </c>
      <c r="E185" s="104">
        <v>0</v>
      </c>
      <c r="F185" s="104">
        <v>-156709.03</v>
      </c>
      <c r="G185" s="104">
        <v>0</v>
      </c>
      <c r="H185" s="104">
        <f>GRANTS!H34</f>
        <v>-156709.03000000026</v>
      </c>
      <c r="I185" s="235">
        <v>0</v>
      </c>
      <c r="J185" s="84">
        <f>GRANTS!I34</f>
        <v>0</v>
      </c>
      <c r="K185" s="91"/>
      <c r="M185" s="61" t="s">
        <v>916</v>
      </c>
      <c r="N185" s="221" t="s">
        <v>1105</v>
      </c>
      <c r="O185" s="59" t="s">
        <v>1103</v>
      </c>
      <c r="P185" s="59" t="s">
        <v>1117</v>
      </c>
    </row>
    <row r="186" spans="1:16">
      <c r="A186" s="79">
        <v>291</v>
      </c>
      <c r="B186" s="79">
        <v>8879</v>
      </c>
      <c r="C186" s="79" t="s">
        <v>608</v>
      </c>
      <c r="D186" s="104">
        <v>-1970009.32</v>
      </c>
      <c r="E186" s="104">
        <v>0</v>
      </c>
      <c r="F186" s="104">
        <v>-10510442.539999999</v>
      </c>
      <c r="G186" s="104">
        <v>0</v>
      </c>
      <c r="H186" s="104">
        <f>GRANTS!H35</f>
        <v>-10510442.540000001</v>
      </c>
      <c r="I186" s="235">
        <v>0</v>
      </c>
      <c r="J186" s="84">
        <f>GRANTS!I35</f>
        <v>-279103.03999999998</v>
      </c>
      <c r="K186" s="91"/>
      <c r="L186" s="70" t="s">
        <v>968</v>
      </c>
      <c r="M186" s="38">
        <f>D144+D174+D162</f>
        <v>30348494.689999998</v>
      </c>
      <c r="N186" s="38">
        <f>F144+F147+F150+F153+F162+F174</f>
        <v>34752375.345909998</v>
      </c>
      <c r="O186" s="38">
        <f>H144+H147+H150+H153+H162+H174</f>
        <v>30954106.070667349</v>
      </c>
      <c r="P186" s="38">
        <f>J144+J147+J150+J153+J162+J174</f>
        <v>34947628.728121959</v>
      </c>
    </row>
    <row r="187" spans="1:16">
      <c r="A187" s="79">
        <v>291</v>
      </c>
      <c r="B187" s="79">
        <v>8950</v>
      </c>
      <c r="C187" s="79" t="s">
        <v>364</v>
      </c>
      <c r="D187" s="104">
        <v>-18426789.41</v>
      </c>
      <c r="E187" s="104">
        <v>-14997633.18</v>
      </c>
      <c r="F187" s="104">
        <v>-24971059</v>
      </c>
      <c r="G187" s="104">
        <v>-11191355.220000001</v>
      </c>
      <c r="H187" s="104">
        <f>F187</f>
        <v>-24971059</v>
      </c>
      <c r="I187" s="290">
        <v>-13517308.33</v>
      </c>
      <c r="J187" s="84">
        <f>K187</f>
        <v>-24562880.279657144</v>
      </c>
      <c r="K187" s="91">
        <f>I187/7*12*1.06</f>
        <v>-24562880.279657144</v>
      </c>
      <c r="L187" s="70" t="s">
        <v>969</v>
      </c>
      <c r="M187" s="38">
        <f>D189-D185</f>
        <v>-20402259.539999999</v>
      </c>
      <c r="N187" s="38">
        <f>F189-F186-F185-F183</f>
        <v>-33120329.380000003</v>
      </c>
      <c r="O187" s="38">
        <f>H189-H186-H185-H183</f>
        <v>-33127137</v>
      </c>
      <c r="P187" s="38">
        <f>J189-J186-J185-J183</f>
        <v>-32720570.411085714</v>
      </c>
    </row>
    <row r="188" spans="1:16" ht="15.75" thickBot="1">
      <c r="A188" s="79">
        <v>291</v>
      </c>
      <c r="B188" s="79">
        <v>8987</v>
      </c>
      <c r="C188" s="79" t="s">
        <v>610</v>
      </c>
      <c r="D188" s="104">
        <v>-5460.81</v>
      </c>
      <c r="E188" s="104">
        <v>-7756.8</v>
      </c>
      <c r="F188" s="104">
        <v>-11192.38</v>
      </c>
      <c r="G188" s="104">
        <v>-9423.76</v>
      </c>
      <c r="H188" s="104">
        <f>'OTHER REVENUE'!H40</f>
        <v>-18000</v>
      </c>
      <c r="I188" s="235">
        <v>-10792.84</v>
      </c>
      <c r="J188" s="84">
        <f>-18502.0114285714+-1110.12</f>
        <v>-19612.1314285714</v>
      </c>
      <c r="K188" s="91">
        <f>I188/7*12</f>
        <v>-18502.01142857143</v>
      </c>
      <c r="M188" s="75">
        <f>M186+M187</f>
        <v>9946235.1499999985</v>
      </c>
      <c r="N188" s="75">
        <f>N186+N187</f>
        <v>1632045.9659099951</v>
      </c>
      <c r="O188" s="75">
        <f>O186+O187</f>
        <v>-2173030.9293326512</v>
      </c>
      <c r="P188" s="75">
        <f>P186+P187</f>
        <v>2227058.317036245</v>
      </c>
    </row>
    <row r="189" spans="1:16" ht="15.75" thickTop="1">
      <c r="D189" s="105">
        <f>SUM(D185:D188)</f>
        <v>-24096200.509999998</v>
      </c>
      <c r="E189" s="105">
        <f>SUM(E185:E188)</f>
        <v>-15005389.98</v>
      </c>
      <c r="F189" s="105">
        <f>SUM(F183:F188)</f>
        <v>-48687480.950000003</v>
      </c>
      <c r="G189" s="105">
        <f>SUM(G183:G188)</f>
        <v>-11200778.98</v>
      </c>
      <c r="H189" s="105">
        <f>SUM(H183:H188)</f>
        <v>-48694288.57</v>
      </c>
      <c r="I189" s="236">
        <f>SUM(I183:I188)</f>
        <v>-13528101.17</v>
      </c>
      <c r="J189" s="74">
        <f>SUM(J183:J188)</f>
        <v>-32999673.451085713</v>
      </c>
      <c r="K189" s="74"/>
      <c r="M189" s="38"/>
    </row>
    <row r="190" spans="1:16">
      <c r="D190" s="102"/>
      <c r="E190" s="102"/>
      <c r="F190" s="102"/>
      <c r="G190" s="102"/>
      <c r="H190" s="102"/>
      <c r="I190" s="239"/>
    </row>
    <row r="191" spans="1:16" s="71" customFormat="1">
      <c r="A191" s="71" t="s">
        <v>921</v>
      </c>
      <c r="D191" s="108"/>
      <c r="E191" s="108"/>
      <c r="F191" s="108"/>
      <c r="G191" s="108"/>
      <c r="H191" s="108"/>
      <c r="I191" s="238"/>
      <c r="J191" s="70"/>
      <c r="K191" s="70"/>
      <c r="L191" s="70"/>
    </row>
    <row r="192" spans="1:16">
      <c r="A192" s="79">
        <v>293</v>
      </c>
      <c r="B192" s="79">
        <v>1</v>
      </c>
      <c r="C192" s="79" t="s">
        <v>16</v>
      </c>
      <c r="D192" s="104">
        <v>4844484.5</v>
      </c>
      <c r="E192" s="104">
        <v>3297087.08</v>
      </c>
      <c r="F192" s="104">
        <f>L192*5.8/100+L192</f>
        <v>5232477.1959600002</v>
      </c>
      <c r="G192" s="104">
        <v>2341042.59</v>
      </c>
      <c r="H192" s="104">
        <v>5310964.3538993997</v>
      </c>
      <c r="I192" s="235">
        <v>2319304.4700000002</v>
      </c>
      <c r="J192" s="84">
        <f>SALARIES!J238</f>
        <v>5629622.2151333634</v>
      </c>
      <c r="K192" s="91"/>
      <c r="L192" s="165">
        <f t="shared" ref="L192:L205" si="25">+E192/8*12</f>
        <v>4945630.62</v>
      </c>
    </row>
    <row r="193" spans="1:13">
      <c r="A193" s="79">
        <v>293</v>
      </c>
      <c r="B193" s="79">
        <v>3</v>
      </c>
      <c r="C193" s="79" t="s">
        <v>56</v>
      </c>
      <c r="D193" s="104">
        <v>26000</v>
      </c>
      <c r="E193" s="104">
        <v>23000</v>
      </c>
      <c r="F193" s="104">
        <v>56501</v>
      </c>
      <c r="G193" s="104">
        <v>20000</v>
      </c>
      <c r="H193" s="104">
        <v>57348.514999999999</v>
      </c>
      <c r="I193" s="235">
        <v>20000</v>
      </c>
      <c r="J193" s="84">
        <f>SALARIES!J239</f>
        <v>60789.425900000002</v>
      </c>
      <c r="K193" s="91"/>
      <c r="L193" s="165">
        <f t="shared" si="25"/>
        <v>34500</v>
      </c>
    </row>
    <row r="194" spans="1:13">
      <c r="A194" s="79">
        <v>293</v>
      </c>
      <c r="B194" s="79">
        <v>4</v>
      </c>
      <c r="C194" s="79" t="s">
        <v>58</v>
      </c>
      <c r="D194" s="104">
        <v>16471.28</v>
      </c>
      <c r="E194" s="104">
        <v>11640.5</v>
      </c>
      <c r="F194" s="104">
        <f t="shared" ref="F194:F205" si="26">L194*5.8/100+L194</f>
        <v>18473.4735</v>
      </c>
      <c r="G194" s="104">
        <v>8327.5300000000007</v>
      </c>
      <c r="H194" s="104">
        <v>18750.575602500001</v>
      </c>
      <c r="I194" s="235">
        <v>8327.5300000000007</v>
      </c>
      <c r="J194" s="84">
        <f>SALARIES!J240</f>
        <v>19875.610138650001</v>
      </c>
      <c r="K194" s="91"/>
      <c r="L194" s="165">
        <f t="shared" si="25"/>
        <v>17460.75</v>
      </c>
    </row>
    <row r="195" spans="1:13">
      <c r="A195" s="79">
        <v>293</v>
      </c>
      <c r="B195" s="79">
        <v>6</v>
      </c>
      <c r="C195" s="79" t="s">
        <v>19</v>
      </c>
      <c r="D195" s="104">
        <v>113578.24000000001</v>
      </c>
      <c r="E195" s="104">
        <v>82209.009999999995</v>
      </c>
      <c r="F195" s="104">
        <f t="shared" si="26"/>
        <v>130465.69886999998</v>
      </c>
      <c r="G195" s="104">
        <v>63702.400000000001</v>
      </c>
      <c r="H195" s="104">
        <v>132422.68435304999</v>
      </c>
      <c r="I195" s="235">
        <v>63702.400000000001</v>
      </c>
      <c r="J195" s="84">
        <f>SALARIES!J241</f>
        <v>140368.045414233</v>
      </c>
      <c r="K195" s="91"/>
      <c r="L195" s="165">
        <f t="shared" si="25"/>
        <v>123313.51499999998</v>
      </c>
    </row>
    <row r="196" spans="1:13">
      <c r="A196" s="79">
        <v>293</v>
      </c>
      <c r="B196" s="79">
        <v>8</v>
      </c>
      <c r="C196" s="79" t="s">
        <v>173</v>
      </c>
      <c r="D196" s="104">
        <v>952458.02</v>
      </c>
      <c r="E196" s="104">
        <v>733498.96</v>
      </c>
      <c r="F196" s="104">
        <v>764062.85</v>
      </c>
      <c r="G196" s="104">
        <v>407245.34</v>
      </c>
      <c r="H196" s="104">
        <v>775523.79226279992</v>
      </c>
      <c r="I196" s="235">
        <v>407245.34</v>
      </c>
      <c r="J196" s="84">
        <f>SALARIES!J242</f>
        <v>822055.21979856794</v>
      </c>
      <c r="K196" s="91"/>
      <c r="L196" s="165">
        <f t="shared" si="25"/>
        <v>1100248.44</v>
      </c>
    </row>
    <row r="197" spans="1:13">
      <c r="A197" s="79">
        <v>293</v>
      </c>
      <c r="B197" s="79">
        <v>10</v>
      </c>
      <c r="C197" s="79" t="s">
        <v>22</v>
      </c>
      <c r="D197" s="104">
        <v>636913.42000000004</v>
      </c>
      <c r="E197" s="104">
        <v>449907.55</v>
      </c>
      <c r="F197" s="104">
        <f t="shared" si="26"/>
        <v>714003.28184999991</v>
      </c>
      <c r="G197" s="104">
        <v>354294.63</v>
      </c>
      <c r="H197" s="104">
        <v>724713.33107774996</v>
      </c>
      <c r="I197" s="235">
        <v>354294.63</v>
      </c>
      <c r="J197" s="84">
        <f>SALARIES!J243</f>
        <v>768196.13094241498</v>
      </c>
      <c r="K197" s="91"/>
      <c r="L197" s="165">
        <f t="shared" si="25"/>
        <v>674861.32499999995</v>
      </c>
    </row>
    <row r="198" spans="1:13">
      <c r="A198" s="79">
        <v>293</v>
      </c>
      <c r="B198" s="79">
        <v>11</v>
      </c>
      <c r="C198" s="79" t="s">
        <v>24</v>
      </c>
      <c r="D198" s="104">
        <v>27517.119999999999</v>
      </c>
      <c r="E198" s="104">
        <v>17781.7</v>
      </c>
      <c r="F198" s="104">
        <f t="shared" si="26"/>
        <v>28219.557900000003</v>
      </c>
      <c r="G198" s="104">
        <v>96445.61</v>
      </c>
      <c r="H198" s="104">
        <v>28642.851268500002</v>
      </c>
      <c r="I198" s="235">
        <v>96445.61</v>
      </c>
      <c r="J198" s="84">
        <f>SALARIES!J244</f>
        <v>30361.422344610004</v>
      </c>
      <c r="K198" s="91"/>
      <c r="L198" s="165">
        <f t="shared" si="25"/>
        <v>26672.550000000003</v>
      </c>
    </row>
    <row r="199" spans="1:13">
      <c r="A199" s="79">
        <v>293</v>
      </c>
      <c r="B199" s="79">
        <v>13</v>
      </c>
      <c r="C199" s="79" t="s">
        <v>273</v>
      </c>
      <c r="D199" s="104">
        <v>495897.42</v>
      </c>
      <c r="E199" s="104">
        <v>369220.15</v>
      </c>
      <c r="F199" s="104">
        <f t="shared" si="26"/>
        <v>585952.37805000006</v>
      </c>
      <c r="G199" s="104">
        <v>310456.55</v>
      </c>
      <c r="H199" s="104">
        <v>594741.66372075002</v>
      </c>
      <c r="I199" s="235">
        <v>310456.55</v>
      </c>
      <c r="J199" s="84">
        <f>SALARIES!J245</f>
        <v>630426.163543995</v>
      </c>
      <c r="K199" s="91"/>
      <c r="L199" s="165">
        <f t="shared" si="25"/>
        <v>553830.22500000009</v>
      </c>
    </row>
    <row r="200" spans="1:13">
      <c r="A200" s="79">
        <v>293</v>
      </c>
      <c r="B200" s="79">
        <v>14</v>
      </c>
      <c r="C200" s="79" t="s">
        <v>25</v>
      </c>
      <c r="D200" s="104">
        <v>328852</v>
      </c>
      <c r="E200" s="104">
        <v>230190</v>
      </c>
      <c r="F200" s="104">
        <v>565311.53</v>
      </c>
      <c r="G200" s="104">
        <v>190940.5</v>
      </c>
      <c r="H200" s="104">
        <v>573791.20295000006</v>
      </c>
      <c r="I200" s="235">
        <v>190940.5</v>
      </c>
      <c r="J200" s="84">
        <f>SALARIES!J246</f>
        <v>608218.67512700008</v>
      </c>
      <c r="K200" s="91"/>
      <c r="L200" s="165">
        <f t="shared" si="25"/>
        <v>345285</v>
      </c>
    </row>
    <row r="201" spans="1:13">
      <c r="A201" s="79">
        <v>293</v>
      </c>
      <c r="B201" s="79">
        <v>16</v>
      </c>
      <c r="C201" s="79" t="s">
        <v>27</v>
      </c>
      <c r="D201" s="104">
        <v>47938.34</v>
      </c>
      <c r="E201" s="104">
        <v>34422.76</v>
      </c>
      <c r="F201" s="104">
        <f t="shared" si="26"/>
        <v>54628.920120000002</v>
      </c>
      <c r="G201" s="104">
        <v>26817.4</v>
      </c>
      <c r="H201" s="104">
        <v>55448.353921800001</v>
      </c>
      <c r="I201" s="235">
        <v>26817.4</v>
      </c>
      <c r="J201" s="84">
        <f>SALARIES!J247</f>
        <v>58775.255157107997</v>
      </c>
      <c r="K201" s="91"/>
      <c r="L201" s="165">
        <f t="shared" si="25"/>
        <v>51634.14</v>
      </c>
    </row>
    <row r="202" spans="1:13">
      <c r="A202" s="79">
        <v>293</v>
      </c>
      <c r="B202" s="79">
        <v>17</v>
      </c>
      <c r="C202" s="79" t="s">
        <v>29</v>
      </c>
      <c r="D202" s="104">
        <v>69867.600000000006</v>
      </c>
      <c r="E202" s="104">
        <v>50724.03</v>
      </c>
      <c r="F202" s="104">
        <f t="shared" si="26"/>
        <v>80499.035609999992</v>
      </c>
      <c r="G202" s="104">
        <v>37578.49</v>
      </c>
      <c r="H202" s="104">
        <v>81706.521144149985</v>
      </c>
      <c r="I202" s="235">
        <v>37578.49</v>
      </c>
      <c r="J202" s="84">
        <f>SALARIES!J248</f>
        <v>86608.912412798978</v>
      </c>
      <c r="K202" s="91"/>
      <c r="L202" s="165">
        <f t="shared" si="25"/>
        <v>76086.044999999998</v>
      </c>
    </row>
    <row r="203" spans="1:13">
      <c r="A203" s="79">
        <v>293</v>
      </c>
      <c r="B203" s="79">
        <v>18</v>
      </c>
      <c r="C203" s="79" t="s">
        <v>31</v>
      </c>
      <c r="D203" s="104">
        <v>311498.36</v>
      </c>
      <c r="E203" s="104">
        <v>252377.24</v>
      </c>
      <c r="F203" s="104">
        <f t="shared" si="26"/>
        <v>400522.67988000001</v>
      </c>
      <c r="G203" s="104">
        <v>229397.87</v>
      </c>
      <c r="H203" s="104">
        <v>406530.52007820003</v>
      </c>
      <c r="I203" s="235">
        <v>229397.87</v>
      </c>
      <c r="J203" s="84">
        <f>SALARIES!J249</f>
        <v>430922.35128289205</v>
      </c>
      <c r="K203" s="91"/>
      <c r="L203" s="165">
        <f t="shared" si="25"/>
        <v>378565.86</v>
      </c>
    </row>
    <row r="204" spans="1:13">
      <c r="A204" s="79">
        <v>293</v>
      </c>
      <c r="B204" s="79">
        <v>102</v>
      </c>
      <c r="C204" s="79" t="s">
        <v>66</v>
      </c>
      <c r="D204" s="104">
        <v>62475.8</v>
      </c>
      <c r="E204" s="104">
        <v>45363.21</v>
      </c>
      <c r="F204" s="104">
        <f t="shared" si="26"/>
        <v>71991.414270000008</v>
      </c>
      <c r="G204" s="104">
        <v>35387.24</v>
      </c>
      <c r="H204" s="104">
        <v>73071.285484050008</v>
      </c>
      <c r="I204" s="235">
        <v>35387.24</v>
      </c>
      <c r="J204" s="84">
        <f>SALARIES!J250</f>
        <v>77455.562613093003</v>
      </c>
      <c r="K204" s="91"/>
      <c r="L204" s="165">
        <f t="shared" si="25"/>
        <v>68044.815000000002</v>
      </c>
    </row>
    <row r="205" spans="1:13">
      <c r="A205" s="79">
        <v>293</v>
      </c>
      <c r="B205" s="79">
        <v>104</v>
      </c>
      <c r="C205" s="79" t="s">
        <v>34</v>
      </c>
      <c r="D205" s="104">
        <v>3690.76</v>
      </c>
      <c r="E205" s="104">
        <v>2585.06</v>
      </c>
      <c r="F205" s="104">
        <f t="shared" si="26"/>
        <v>4102.4902200000006</v>
      </c>
      <c r="G205" s="104">
        <v>1835.55</v>
      </c>
      <c r="H205" s="104">
        <v>4164.0275733000008</v>
      </c>
      <c r="I205" s="235">
        <v>1835.55</v>
      </c>
      <c r="J205" s="84">
        <f>SALARIES!J251</f>
        <v>4413.8692276980009</v>
      </c>
      <c r="K205" s="91"/>
      <c r="L205" s="165">
        <f t="shared" si="25"/>
        <v>3877.59</v>
      </c>
    </row>
    <row r="206" spans="1:13">
      <c r="D206" s="105">
        <f t="shared" ref="D206:J206" si="27">SUM(D192:D205)</f>
        <v>7937642.8600000003</v>
      </c>
      <c r="E206" s="105">
        <f t="shared" si="27"/>
        <v>5600007.25</v>
      </c>
      <c r="F206" s="105">
        <f t="shared" si="27"/>
        <v>8707211.5062300004</v>
      </c>
      <c r="G206" s="105">
        <f t="shared" si="27"/>
        <v>4123471.6999999993</v>
      </c>
      <c r="H206" s="105">
        <f t="shared" si="27"/>
        <v>8837819.6783362497</v>
      </c>
      <c r="I206" s="236">
        <f t="shared" si="27"/>
        <v>4101733.5799999996</v>
      </c>
      <c r="J206" s="74">
        <f t="shared" si="27"/>
        <v>9368088.8590364251</v>
      </c>
      <c r="K206" s="74"/>
      <c r="M206" s="38"/>
    </row>
    <row r="207" spans="1:13" s="71" customFormat="1">
      <c r="A207" s="71" t="s">
        <v>1017</v>
      </c>
      <c r="D207" s="105"/>
      <c r="E207" s="105"/>
      <c r="F207" s="105"/>
      <c r="G207" s="105"/>
      <c r="H207" s="105"/>
      <c r="I207" s="236"/>
      <c r="J207" s="74"/>
      <c r="K207" s="74"/>
      <c r="L207" s="70"/>
      <c r="M207" s="70"/>
    </row>
    <row r="208" spans="1:13">
      <c r="A208" s="79">
        <v>293</v>
      </c>
      <c r="B208" s="79">
        <v>117</v>
      </c>
      <c r="C208" s="79" t="s">
        <v>338</v>
      </c>
      <c r="D208" s="104">
        <v>7805000</v>
      </c>
      <c r="E208" s="104">
        <v>10280537.029999999</v>
      </c>
      <c r="F208" s="104">
        <v>12190000</v>
      </c>
      <c r="G208" s="104">
        <v>7248047.5800000001</v>
      </c>
      <c r="H208" s="104">
        <f>'NON CASH'!H29</f>
        <v>12190000</v>
      </c>
      <c r="I208" s="235">
        <v>7235893.04</v>
      </c>
      <c r="J208" s="84">
        <f>13398955.8+636369.65</f>
        <v>14035325.450000001</v>
      </c>
      <c r="K208" s="91">
        <f>I208/7*12</f>
        <v>12404388.06857143</v>
      </c>
    </row>
    <row r="209" spans="1:13">
      <c r="D209" s="105"/>
      <c r="E209" s="105"/>
      <c r="F209" s="105">
        <f>F208</f>
        <v>12190000</v>
      </c>
      <c r="G209" s="105">
        <f>G208</f>
        <v>7248047.5800000001</v>
      </c>
      <c r="H209" s="105">
        <f>H208</f>
        <v>12190000</v>
      </c>
      <c r="I209" s="236">
        <f>I208</f>
        <v>7235893.04</v>
      </c>
      <c r="J209" s="74">
        <f>J208</f>
        <v>14035325.450000001</v>
      </c>
      <c r="K209" s="74"/>
      <c r="M209" s="38"/>
    </row>
    <row r="210" spans="1:13">
      <c r="A210" s="71" t="s">
        <v>44</v>
      </c>
      <c r="D210" s="105"/>
      <c r="E210" s="105"/>
      <c r="F210" s="105"/>
      <c r="G210" s="105"/>
      <c r="H210" s="105"/>
      <c r="I210" s="236"/>
      <c r="J210" s="74"/>
      <c r="K210" s="74"/>
      <c r="M210" s="38"/>
    </row>
    <row r="211" spans="1:13">
      <c r="A211" s="79">
        <v>293</v>
      </c>
      <c r="B211" s="79">
        <v>210</v>
      </c>
      <c r="C211" s="79" t="s">
        <v>44</v>
      </c>
      <c r="D211" s="104">
        <v>5887206.6699999999</v>
      </c>
      <c r="E211" s="104">
        <v>0</v>
      </c>
      <c r="F211" s="104">
        <f>'NON CASH'!G18</f>
        <v>6004950.8033999996</v>
      </c>
      <c r="G211" s="104">
        <v>0</v>
      </c>
      <c r="H211" s="104">
        <f>'NON CASH'!H18</f>
        <v>6305198.3435699996</v>
      </c>
      <c r="I211" s="235"/>
      <c r="J211" s="84">
        <f>'NON CASH'!I18</f>
        <v>6431302.3104413999</v>
      </c>
      <c r="K211" s="91"/>
      <c r="L211" s="165">
        <f>+E211/8*12</f>
        <v>0</v>
      </c>
    </row>
    <row r="212" spans="1:13">
      <c r="D212" s="105"/>
      <c r="E212" s="105"/>
      <c r="F212" s="105">
        <f>F211</f>
        <v>6004950.8033999996</v>
      </c>
      <c r="G212" s="105">
        <f>G211</f>
        <v>0</v>
      </c>
      <c r="H212" s="105">
        <f>H211</f>
        <v>6305198.3435699996</v>
      </c>
      <c r="I212" s="236">
        <f>I211</f>
        <v>0</v>
      </c>
      <c r="J212" s="74">
        <f>J211</f>
        <v>6431302.3104413999</v>
      </c>
      <c r="K212" s="74"/>
      <c r="L212" s="165"/>
      <c r="M212" s="38"/>
    </row>
    <row r="213" spans="1:13">
      <c r="A213" s="71" t="s">
        <v>1033</v>
      </c>
      <c r="D213" s="105"/>
      <c r="E213" s="105"/>
      <c r="F213" s="105"/>
      <c r="G213" s="105"/>
      <c r="H213" s="105"/>
      <c r="I213" s="236"/>
      <c r="J213" s="74"/>
      <c r="K213" s="74"/>
      <c r="L213" s="165"/>
      <c r="M213" s="38"/>
    </row>
    <row r="214" spans="1:13">
      <c r="A214" s="79">
        <v>293</v>
      </c>
      <c r="B214" s="79">
        <v>257</v>
      </c>
      <c r="C214" s="79" t="s">
        <v>642</v>
      </c>
      <c r="D214" s="104">
        <v>3500000</v>
      </c>
      <c r="E214" s="104">
        <v>4804648.13</v>
      </c>
      <c r="F214" s="104">
        <v>7300000</v>
      </c>
      <c r="G214" s="104">
        <v>566650.55000000005</v>
      </c>
      <c r="H214" s="104">
        <f>'BULK PURCHASES'!H4</f>
        <v>850000</v>
      </c>
      <c r="I214" s="235">
        <v>566650.55000000005</v>
      </c>
      <c r="J214" s="84">
        <v>971400.94285714289</v>
      </c>
      <c r="K214" s="91">
        <f>I214/7*12</f>
        <v>971400.94285714289</v>
      </c>
      <c r="L214" s="165">
        <f>+E214/8*12</f>
        <v>7206972.1950000003</v>
      </c>
    </row>
    <row r="215" spans="1:13">
      <c r="D215" s="105"/>
      <c r="E215" s="105"/>
      <c r="F215" s="105">
        <f>F214</f>
        <v>7300000</v>
      </c>
      <c r="G215" s="105">
        <f>G214</f>
        <v>566650.55000000005</v>
      </c>
      <c r="H215" s="105">
        <f>H214</f>
        <v>850000</v>
      </c>
      <c r="I215" s="236">
        <f>I214</f>
        <v>566650.55000000005</v>
      </c>
      <c r="J215" s="74">
        <f>J214</f>
        <v>971400.94285714289</v>
      </c>
      <c r="K215" s="74"/>
      <c r="L215" s="165"/>
      <c r="M215" s="38"/>
    </row>
    <row r="216" spans="1:13">
      <c r="A216" s="71" t="s">
        <v>1029</v>
      </c>
      <c r="D216" s="105"/>
      <c r="E216" s="105"/>
      <c r="F216" s="105"/>
      <c r="G216" s="105"/>
      <c r="H216" s="105"/>
      <c r="I216" s="236"/>
      <c r="J216" s="74"/>
      <c r="K216" s="74"/>
      <c r="L216" s="165"/>
      <c r="M216" s="38"/>
    </row>
    <row r="217" spans="1:13">
      <c r="A217" s="79">
        <v>293</v>
      </c>
      <c r="B217" s="79">
        <v>256</v>
      </c>
      <c r="C217" s="79" t="s">
        <v>350</v>
      </c>
      <c r="D217" s="104">
        <v>8098000</v>
      </c>
      <c r="E217" s="104">
        <v>5891911.1100000003</v>
      </c>
      <c r="F217" s="104">
        <v>1360641</v>
      </c>
      <c r="G217" s="104">
        <v>2661515.67</v>
      </c>
      <c r="H217" s="104">
        <f>'FREE BASIC CHARGE'!H7</f>
        <v>5323030</v>
      </c>
      <c r="I217" s="235">
        <v>3312533.21</v>
      </c>
      <c r="J217" s="84">
        <v>5678628.3599999994</v>
      </c>
      <c r="K217" s="91">
        <f>I217/7*12</f>
        <v>5678628.3599999994</v>
      </c>
      <c r="L217" s="165">
        <f>+E217/8*12</f>
        <v>8837866.665000001</v>
      </c>
    </row>
    <row r="218" spans="1:13">
      <c r="D218" s="105"/>
      <c r="E218" s="105"/>
      <c r="F218" s="105">
        <f>F217</f>
        <v>1360641</v>
      </c>
      <c r="G218" s="105">
        <f>G217</f>
        <v>2661515.67</v>
      </c>
      <c r="H218" s="105">
        <f>H217</f>
        <v>5323030</v>
      </c>
      <c r="I218" s="236">
        <f>I217</f>
        <v>3312533.21</v>
      </c>
      <c r="J218" s="74">
        <f>J217</f>
        <v>5678628.3599999994</v>
      </c>
      <c r="K218" s="74"/>
      <c r="L218" s="165"/>
      <c r="M218" s="38"/>
    </row>
    <row r="219" spans="1:13">
      <c r="D219" s="105"/>
      <c r="E219" s="105"/>
      <c r="F219" s="105"/>
      <c r="G219" s="105"/>
      <c r="H219" s="105"/>
      <c r="I219" s="236"/>
      <c r="J219" s="74"/>
      <c r="K219" s="74"/>
      <c r="L219" s="165"/>
      <c r="M219" s="38"/>
    </row>
    <row r="220" spans="1:13" s="71" customFormat="1">
      <c r="A220" s="71" t="s">
        <v>927</v>
      </c>
      <c r="D220" s="108"/>
      <c r="E220" s="108"/>
      <c r="F220" s="108"/>
      <c r="G220" s="108"/>
      <c r="H220" s="108"/>
      <c r="I220" s="238"/>
      <c r="J220" s="70"/>
      <c r="K220" s="70"/>
      <c r="L220" s="170"/>
    </row>
    <row r="221" spans="1:13">
      <c r="A221" s="79">
        <v>293</v>
      </c>
      <c r="B221" s="79">
        <v>264</v>
      </c>
      <c r="C221" s="79" t="s">
        <v>644</v>
      </c>
      <c r="D221" s="109">
        <v>1700</v>
      </c>
      <c r="E221" s="104">
        <v>1306.6400000000001</v>
      </c>
      <c r="F221" s="104">
        <v>2000</v>
      </c>
      <c r="G221" s="104">
        <v>1456.09</v>
      </c>
      <c r="H221" s="104">
        <f>RME!H38</f>
        <v>2000</v>
      </c>
      <c r="I221" s="235">
        <v>1456.09</v>
      </c>
      <c r="J221" s="84">
        <v>2000</v>
      </c>
      <c r="K221" s="91">
        <f>I221/7*12</f>
        <v>2496.1542857142858</v>
      </c>
      <c r="L221" s="165">
        <f>+E221/8*12</f>
        <v>1959.96</v>
      </c>
    </row>
    <row r="222" spans="1:13">
      <c r="A222" s="79">
        <v>293</v>
      </c>
      <c r="B222" s="79">
        <v>270</v>
      </c>
      <c r="C222" s="79" t="s">
        <v>596</v>
      </c>
      <c r="D222" s="109">
        <v>3638346.88</v>
      </c>
      <c r="E222" s="104">
        <v>1918231.52</v>
      </c>
      <c r="F222" s="104">
        <v>1900000</v>
      </c>
      <c r="G222" s="104">
        <v>387380.02</v>
      </c>
      <c r="H222" s="104">
        <f>RME!H39</f>
        <v>1900000</v>
      </c>
      <c r="I222" s="235">
        <v>387961.77</v>
      </c>
      <c r="J222" s="84">
        <v>1400000</v>
      </c>
      <c r="K222" s="91">
        <f>I222/7*12</f>
        <v>665077.32000000007</v>
      </c>
      <c r="L222" s="165">
        <f>+E222/8*12</f>
        <v>2877347.2800000003</v>
      </c>
    </row>
    <row r="223" spans="1:13">
      <c r="A223" s="79">
        <v>293</v>
      </c>
      <c r="B223" s="79">
        <v>278</v>
      </c>
      <c r="C223" s="79" t="s">
        <v>218</v>
      </c>
      <c r="D223" s="109">
        <v>50000</v>
      </c>
      <c r="E223" s="104">
        <v>196065.53</v>
      </c>
      <c r="F223" s="104">
        <v>200000</v>
      </c>
      <c r="G223" s="104">
        <v>0</v>
      </c>
      <c r="H223" s="104">
        <f>RME!H40</f>
        <v>200000</v>
      </c>
      <c r="I223" s="235">
        <v>0</v>
      </c>
      <c r="J223" s="84">
        <v>0</v>
      </c>
      <c r="K223" s="91">
        <f>I223/7*12</f>
        <v>0</v>
      </c>
      <c r="L223" s="165">
        <f>+E223/8*12</f>
        <v>294098.29499999998</v>
      </c>
    </row>
    <row r="224" spans="1:13">
      <c r="A224" s="79">
        <v>293</v>
      </c>
      <c r="B224" s="79">
        <v>280</v>
      </c>
      <c r="C224" s="79" t="s">
        <v>551</v>
      </c>
      <c r="D224" s="109">
        <v>1259000</v>
      </c>
      <c r="E224" s="104">
        <f>678574.62+79000</f>
        <v>757574.62</v>
      </c>
      <c r="F224" s="104">
        <v>1000000</v>
      </c>
      <c r="G224" s="104">
        <v>552740.01</v>
      </c>
      <c r="H224" s="104">
        <f>RME!H41</f>
        <v>1000000</v>
      </c>
      <c r="I224" s="235">
        <v>567112.01</v>
      </c>
      <c r="J224" s="84">
        <v>1000000</v>
      </c>
      <c r="K224" s="91">
        <f>I224/7*12</f>
        <v>972192.01714285719</v>
      </c>
      <c r="L224" s="165">
        <f>+E224/8*12</f>
        <v>1136361.93</v>
      </c>
    </row>
    <row r="225" spans="1:13">
      <c r="A225" s="79">
        <v>293</v>
      </c>
      <c r="B225" s="79">
        <v>284</v>
      </c>
      <c r="C225" s="79" t="s">
        <v>221</v>
      </c>
      <c r="D225" s="109">
        <v>43000</v>
      </c>
      <c r="E225" s="104">
        <v>44985.91</v>
      </c>
      <c r="F225" s="104">
        <v>50000</v>
      </c>
      <c r="G225" s="104">
        <v>48146.7</v>
      </c>
      <c r="H225" s="104">
        <f>RME!H42</f>
        <v>100000</v>
      </c>
      <c r="I225" s="235">
        <v>48325.2</v>
      </c>
      <c r="J225" s="84">
        <v>100000</v>
      </c>
      <c r="K225" s="91">
        <f>I225/7*12</f>
        <v>82843.199999999997</v>
      </c>
      <c r="L225" s="165">
        <f>+E225/8*12</f>
        <v>67478.865000000005</v>
      </c>
    </row>
    <row r="226" spans="1:13">
      <c r="D226" s="105">
        <f t="shared" ref="D226:J226" si="28">SUM(D221:D225)</f>
        <v>4992046.88</v>
      </c>
      <c r="E226" s="105">
        <f t="shared" si="28"/>
        <v>2918164.22</v>
      </c>
      <c r="F226" s="105">
        <f t="shared" si="28"/>
        <v>3152000</v>
      </c>
      <c r="G226" s="105">
        <f t="shared" si="28"/>
        <v>989722.82000000007</v>
      </c>
      <c r="H226" s="105">
        <f t="shared" si="28"/>
        <v>3202000</v>
      </c>
      <c r="I226" s="236">
        <f t="shared" si="28"/>
        <v>1004855.0700000001</v>
      </c>
      <c r="J226" s="74">
        <f t="shared" si="28"/>
        <v>2502000</v>
      </c>
      <c r="K226" s="74"/>
      <c r="L226" s="165"/>
      <c r="M226" s="38"/>
    </row>
    <row r="227" spans="1:13">
      <c r="D227" s="105"/>
      <c r="E227" s="105"/>
      <c r="F227" s="105"/>
      <c r="G227" s="105"/>
      <c r="H227" s="105"/>
      <c r="I227" s="236"/>
      <c r="J227" s="74"/>
      <c r="K227" s="74"/>
      <c r="L227" s="165"/>
      <c r="M227" s="38"/>
    </row>
    <row r="228" spans="1:13">
      <c r="A228" s="71" t="s">
        <v>1034</v>
      </c>
      <c r="D228" s="105"/>
      <c r="E228" s="105"/>
      <c r="F228" s="105"/>
      <c r="G228" s="105"/>
      <c r="H228" s="105"/>
      <c r="I228" s="236"/>
      <c r="J228" s="74"/>
      <c r="K228" s="74"/>
      <c r="L228" s="165"/>
      <c r="M228" s="38"/>
    </row>
    <row r="229" spans="1:13">
      <c r="A229" s="79">
        <v>293</v>
      </c>
      <c r="B229" s="79">
        <v>291</v>
      </c>
      <c r="C229" s="79" t="s">
        <v>651</v>
      </c>
      <c r="D229" s="104">
        <v>400000</v>
      </c>
      <c r="E229" s="104">
        <v>67489.47</v>
      </c>
      <c r="F229" s="104">
        <v>102000</v>
      </c>
      <c r="G229" s="104">
        <v>1051500</v>
      </c>
      <c r="H229" s="104">
        <f>'CONTRACTED SERVICES'!H12</f>
        <v>2103000</v>
      </c>
      <c r="I229" s="235">
        <v>1455743</v>
      </c>
      <c r="J229" s="84">
        <v>2300000</v>
      </c>
      <c r="K229" s="91">
        <f>I229/7*12</f>
        <v>2495559.4285714286</v>
      </c>
      <c r="L229" s="165">
        <f>+E229/8*12</f>
        <v>101234.205</v>
      </c>
    </row>
    <row r="230" spans="1:13">
      <c r="A230" s="90"/>
      <c r="B230" s="90"/>
      <c r="C230" s="90"/>
      <c r="D230" s="106"/>
      <c r="E230" s="106"/>
      <c r="F230" s="107">
        <f>F229</f>
        <v>102000</v>
      </c>
      <c r="G230" s="107">
        <f>G229</f>
        <v>1051500</v>
      </c>
      <c r="H230" s="107">
        <f>H229</f>
        <v>2103000</v>
      </c>
      <c r="I230" s="237">
        <f>I229</f>
        <v>1455743</v>
      </c>
      <c r="J230" s="92">
        <f>J229</f>
        <v>2300000</v>
      </c>
      <c r="K230" s="92"/>
      <c r="L230" s="165"/>
    </row>
    <row r="231" spans="1:13">
      <c r="D231" s="105"/>
      <c r="E231" s="105"/>
      <c r="F231" s="105"/>
      <c r="G231" s="105"/>
      <c r="H231" s="105"/>
      <c r="I231" s="236"/>
      <c r="J231" s="74"/>
      <c r="K231" s="74"/>
      <c r="L231" s="165"/>
      <c r="M231" s="38"/>
    </row>
    <row r="232" spans="1:13" s="71" customFormat="1">
      <c r="A232" s="71" t="s">
        <v>924</v>
      </c>
      <c r="D232" s="108"/>
      <c r="E232" s="108"/>
      <c r="F232" s="108"/>
      <c r="G232" s="108"/>
      <c r="H232" s="108"/>
      <c r="I232" s="238"/>
      <c r="J232" s="70"/>
      <c r="K232" s="70"/>
      <c r="L232" s="170"/>
    </row>
    <row r="233" spans="1:13">
      <c r="A233" s="79">
        <v>293</v>
      </c>
      <c r="B233" s="79">
        <v>123</v>
      </c>
      <c r="C233" s="79" t="s">
        <v>187</v>
      </c>
      <c r="D233" s="104">
        <v>350000</v>
      </c>
      <c r="E233" s="104">
        <v>304865.84000000003</v>
      </c>
      <c r="F233" s="104">
        <v>200000</v>
      </c>
      <c r="G233" s="104">
        <v>8989.74</v>
      </c>
      <c r="H233" s="104">
        <v>100000</v>
      </c>
      <c r="I233" s="235">
        <v>8989.74</v>
      </c>
      <c r="J233" s="84">
        <v>20000</v>
      </c>
      <c r="K233" s="91">
        <f>I233/7*12</f>
        <v>15410.982857142859</v>
      </c>
      <c r="L233" s="165">
        <f>+E233/8*12</f>
        <v>457298.76</v>
      </c>
    </row>
    <row r="234" spans="1:13">
      <c r="A234" s="79">
        <v>293</v>
      </c>
      <c r="B234" s="79">
        <v>127</v>
      </c>
      <c r="C234" s="79" t="s">
        <v>507</v>
      </c>
      <c r="D234" s="104">
        <v>3000000</v>
      </c>
      <c r="E234" s="104">
        <v>1101922</v>
      </c>
      <c r="F234" s="104">
        <v>1200000</v>
      </c>
      <c r="G234" s="104">
        <v>534677.19999999995</v>
      </c>
      <c r="H234" s="104">
        <v>1200000</v>
      </c>
      <c r="I234" s="235">
        <v>534677.19999999995</v>
      </c>
      <c r="J234" s="84">
        <v>950000</v>
      </c>
      <c r="K234" s="91">
        <f t="shared" ref="K234:K248" si="29">I234/7*12</f>
        <v>916589.48571428563</v>
      </c>
      <c r="L234" s="165">
        <f t="shared" ref="L234:L247" si="30">+E234/8*12</f>
        <v>1652883</v>
      </c>
      <c r="M234" s="38"/>
    </row>
    <row r="235" spans="1:13">
      <c r="A235" s="337">
        <v>293</v>
      </c>
      <c r="B235" s="337">
        <v>135</v>
      </c>
      <c r="C235" s="337" t="s">
        <v>189</v>
      </c>
      <c r="D235" s="338">
        <v>5500000</v>
      </c>
      <c r="E235" s="338">
        <v>4677949.45</v>
      </c>
      <c r="F235" s="338">
        <v>4600000</v>
      </c>
      <c r="G235" s="338">
        <v>1806431.96</v>
      </c>
      <c r="H235" s="338">
        <v>4600000</v>
      </c>
      <c r="I235" s="338">
        <v>1860637.45</v>
      </c>
      <c r="J235" s="338">
        <v>5031879.34</v>
      </c>
      <c r="K235" s="91">
        <f t="shared" si="29"/>
        <v>3189664.1999999997</v>
      </c>
      <c r="L235" s="165">
        <f t="shared" si="30"/>
        <v>7016924.1750000007</v>
      </c>
    </row>
    <row r="236" spans="1:13">
      <c r="A236" s="79">
        <v>293</v>
      </c>
      <c r="B236" s="79">
        <v>175</v>
      </c>
      <c r="C236" s="79" t="s">
        <v>195</v>
      </c>
      <c r="D236" s="104">
        <v>512000</v>
      </c>
      <c r="E236" s="104">
        <v>125249.48</v>
      </c>
      <c r="F236" s="104">
        <v>200000</v>
      </c>
      <c r="G236" s="104">
        <v>220460.16</v>
      </c>
      <c r="H236" s="104">
        <v>300000</v>
      </c>
      <c r="I236" s="235">
        <v>227832.15</v>
      </c>
      <c r="J236" s="84">
        <v>300000</v>
      </c>
      <c r="K236" s="91">
        <f t="shared" si="29"/>
        <v>390569.4</v>
      </c>
      <c r="L236" s="165">
        <f t="shared" si="30"/>
        <v>187874.22</v>
      </c>
    </row>
    <row r="237" spans="1:13">
      <c r="A237" s="79">
        <v>293</v>
      </c>
      <c r="B237" s="79">
        <v>183</v>
      </c>
      <c r="C237" s="79" t="s">
        <v>130</v>
      </c>
      <c r="D237" s="104"/>
      <c r="E237" s="104"/>
      <c r="F237" s="104">
        <v>0</v>
      </c>
      <c r="G237" s="104">
        <v>24600</v>
      </c>
      <c r="H237" s="104">
        <v>0</v>
      </c>
      <c r="I237" s="235">
        <v>24600</v>
      </c>
      <c r="J237" s="84">
        <v>0</v>
      </c>
      <c r="K237" s="91">
        <f t="shared" si="29"/>
        <v>42171.428571428572</v>
      </c>
      <c r="L237" s="165"/>
    </row>
    <row r="238" spans="1:13">
      <c r="A238" s="79">
        <v>293</v>
      </c>
      <c r="B238" s="79">
        <v>193</v>
      </c>
      <c r="C238" s="79" t="s">
        <v>36</v>
      </c>
      <c r="D238" s="104">
        <v>500000</v>
      </c>
      <c r="E238" s="104">
        <v>127945.06</v>
      </c>
      <c r="F238" s="104">
        <v>800000</v>
      </c>
      <c r="G238" s="104">
        <v>209182.96</v>
      </c>
      <c r="H238" s="104">
        <v>800000</v>
      </c>
      <c r="I238" s="235">
        <v>209182.96</v>
      </c>
      <c r="J238" s="84">
        <v>400000</v>
      </c>
      <c r="K238" s="91">
        <f t="shared" si="29"/>
        <v>358599.36</v>
      </c>
      <c r="L238" s="165">
        <f t="shared" si="30"/>
        <v>191917.59</v>
      </c>
    </row>
    <row r="239" spans="1:13">
      <c r="A239" s="79">
        <v>293</v>
      </c>
      <c r="B239" s="79">
        <v>195</v>
      </c>
      <c r="C239" s="79" t="s">
        <v>38</v>
      </c>
      <c r="D239" s="104">
        <v>58000</v>
      </c>
      <c r="E239" s="104">
        <v>43037.27</v>
      </c>
      <c r="F239" s="104">
        <v>58000</v>
      </c>
      <c r="G239" s="104">
        <v>51359.11</v>
      </c>
      <c r="H239" s="104">
        <v>100000</v>
      </c>
      <c r="I239" s="235">
        <v>56831.78</v>
      </c>
      <c r="J239" s="84">
        <v>100000</v>
      </c>
      <c r="K239" s="91">
        <f t="shared" si="29"/>
        <v>97425.908571428561</v>
      </c>
      <c r="L239" s="165">
        <f t="shared" si="30"/>
        <v>64555.904999999999</v>
      </c>
    </row>
    <row r="240" spans="1:13">
      <c r="A240" s="79">
        <v>293</v>
      </c>
      <c r="B240" s="79">
        <v>200</v>
      </c>
      <c r="C240" s="79" t="s">
        <v>635</v>
      </c>
      <c r="D240" s="104">
        <v>60000</v>
      </c>
      <c r="E240" s="104">
        <v>29237.55</v>
      </c>
      <c r="F240" s="104">
        <v>0</v>
      </c>
      <c r="G240" s="104"/>
      <c r="H240" s="104">
        <v>0</v>
      </c>
      <c r="I240" s="235"/>
      <c r="J240" s="84">
        <v>0</v>
      </c>
      <c r="K240" s="91">
        <f t="shared" si="29"/>
        <v>0</v>
      </c>
      <c r="L240" s="165">
        <f t="shared" si="30"/>
        <v>43856.324999999997</v>
      </c>
    </row>
    <row r="241" spans="1:13">
      <c r="A241" s="79">
        <v>293</v>
      </c>
      <c r="B241" s="79">
        <v>204</v>
      </c>
      <c r="C241" s="79" t="s">
        <v>637</v>
      </c>
      <c r="D241" s="104">
        <v>7000</v>
      </c>
      <c r="E241" s="104">
        <v>3924.89</v>
      </c>
      <c r="F241" s="104">
        <v>5900</v>
      </c>
      <c r="G241" s="104">
        <v>6126.02</v>
      </c>
      <c r="H241" s="104">
        <v>12000</v>
      </c>
      <c r="I241" s="235">
        <v>6126.02</v>
      </c>
      <c r="J241" s="84">
        <v>10000</v>
      </c>
      <c r="K241" s="91">
        <f t="shared" si="29"/>
        <v>10501.748571428572</v>
      </c>
      <c r="L241" s="165">
        <f t="shared" si="30"/>
        <v>5887.335</v>
      </c>
    </row>
    <row r="242" spans="1:13">
      <c r="A242" s="79">
        <v>293</v>
      </c>
      <c r="B242" s="79">
        <v>208</v>
      </c>
      <c r="C242" s="79" t="s">
        <v>207</v>
      </c>
      <c r="D242" s="104">
        <v>0</v>
      </c>
      <c r="E242" s="104">
        <v>146.82</v>
      </c>
      <c r="F242" s="104">
        <v>0</v>
      </c>
      <c r="G242" s="104">
        <v>56833.48</v>
      </c>
      <c r="H242" s="104">
        <v>0</v>
      </c>
      <c r="I242" s="235">
        <v>56833.48</v>
      </c>
      <c r="J242" s="84">
        <v>60000</v>
      </c>
      <c r="K242" s="91">
        <f t="shared" si="29"/>
        <v>97428.822857142863</v>
      </c>
      <c r="L242" s="165">
        <f t="shared" si="30"/>
        <v>220.23</v>
      </c>
    </row>
    <row r="243" spans="1:13">
      <c r="A243" s="79">
        <v>293</v>
      </c>
      <c r="B243" s="79">
        <v>243</v>
      </c>
      <c r="C243" s="79" t="s">
        <v>254</v>
      </c>
      <c r="D243" s="104"/>
      <c r="E243" s="104"/>
      <c r="F243" s="104">
        <v>0</v>
      </c>
      <c r="G243" s="104">
        <v>209.94</v>
      </c>
      <c r="H243" s="104">
        <v>0</v>
      </c>
      <c r="I243" s="235">
        <v>209.94</v>
      </c>
      <c r="J243" s="84">
        <v>10000</v>
      </c>
      <c r="K243" s="91">
        <f t="shared" si="29"/>
        <v>359.89714285714285</v>
      </c>
      <c r="L243" s="165"/>
    </row>
    <row r="244" spans="1:13">
      <c r="A244" s="79">
        <v>293</v>
      </c>
      <c r="B244" s="79">
        <v>255</v>
      </c>
      <c r="C244" s="79" t="s">
        <v>639</v>
      </c>
      <c r="D244" s="104">
        <v>200000</v>
      </c>
      <c r="E244" s="104">
        <v>1476.05</v>
      </c>
      <c r="F244" s="104">
        <v>500000</v>
      </c>
      <c r="G244" s="104">
        <v>8.77</v>
      </c>
      <c r="H244" s="104">
        <v>500000</v>
      </c>
      <c r="I244" s="235">
        <v>8.77</v>
      </c>
      <c r="J244" s="84">
        <v>200000</v>
      </c>
      <c r="K244" s="91">
        <f t="shared" si="29"/>
        <v>15.034285714285716</v>
      </c>
      <c r="L244" s="165">
        <f t="shared" si="30"/>
        <v>2214.0749999999998</v>
      </c>
    </row>
    <row r="245" spans="1:13">
      <c r="A245" s="79">
        <v>293</v>
      </c>
      <c r="B245" s="79">
        <v>262</v>
      </c>
      <c r="C245" s="79" t="s">
        <v>1063</v>
      </c>
      <c r="D245" s="104"/>
      <c r="E245" s="104"/>
      <c r="F245" s="104">
        <v>0</v>
      </c>
      <c r="G245" s="104">
        <v>760.63</v>
      </c>
      <c r="H245" s="104">
        <v>0</v>
      </c>
      <c r="I245" s="235">
        <v>760.63</v>
      </c>
      <c r="J245" s="84">
        <v>0</v>
      </c>
      <c r="K245" s="91">
        <f t="shared" si="29"/>
        <v>1303.9371428571428</v>
      </c>
      <c r="L245" s="165"/>
    </row>
    <row r="246" spans="1:13">
      <c r="A246" s="79">
        <v>293</v>
      </c>
      <c r="B246" s="79">
        <v>265</v>
      </c>
      <c r="C246" s="79" t="s">
        <v>645</v>
      </c>
      <c r="D246" s="104">
        <v>1084000</v>
      </c>
      <c r="E246" s="104">
        <v>1025855.36</v>
      </c>
      <c r="F246" s="104">
        <v>0</v>
      </c>
      <c r="G246" s="104"/>
      <c r="H246" s="104">
        <v>0</v>
      </c>
      <c r="I246" s="235"/>
      <c r="J246" s="84">
        <v>250000</v>
      </c>
      <c r="K246" s="91">
        <f t="shared" si="29"/>
        <v>0</v>
      </c>
      <c r="L246" s="165">
        <f t="shared" si="30"/>
        <v>1538783.04</v>
      </c>
    </row>
    <row r="247" spans="1:13">
      <c r="A247" s="79">
        <v>293</v>
      </c>
      <c r="B247" s="79">
        <v>272</v>
      </c>
      <c r="C247" s="79" t="s">
        <v>647</v>
      </c>
      <c r="D247" s="104">
        <v>0</v>
      </c>
      <c r="E247" s="104">
        <v>79000</v>
      </c>
      <c r="F247" s="104">
        <v>0</v>
      </c>
      <c r="G247" s="104"/>
      <c r="H247" s="104">
        <v>0</v>
      </c>
      <c r="I247" s="235"/>
      <c r="J247" s="84">
        <v>0</v>
      </c>
      <c r="K247" s="91">
        <f t="shared" si="29"/>
        <v>0</v>
      </c>
      <c r="L247" s="165">
        <f t="shared" si="30"/>
        <v>118500</v>
      </c>
    </row>
    <row r="248" spans="1:13">
      <c r="A248" s="79">
        <v>293</v>
      </c>
      <c r="B248" s="79">
        <v>461</v>
      </c>
      <c r="C248" s="79" t="s">
        <v>484</v>
      </c>
      <c r="D248" s="104">
        <v>1000000</v>
      </c>
      <c r="E248" s="104">
        <v>328743.34000000003</v>
      </c>
      <c r="F248" s="104">
        <v>300000</v>
      </c>
      <c r="G248" s="104">
        <v>120202.5</v>
      </c>
      <c r="H248" s="104">
        <v>300000</v>
      </c>
      <c r="I248" s="235">
        <v>120202.5</v>
      </c>
      <c r="J248" s="84">
        <v>300000</v>
      </c>
      <c r="K248" s="91">
        <f t="shared" si="29"/>
        <v>206061.42857142858</v>
      </c>
    </row>
    <row r="249" spans="1:13">
      <c r="D249" s="105">
        <f>SUM(D208:D248)</f>
        <v>47945300.43</v>
      </c>
      <c r="E249" s="105">
        <f>SUM(E208:E248)</f>
        <v>34730267.290000007</v>
      </c>
      <c r="F249" s="105">
        <f>SUM(F233:F248)</f>
        <v>7863900</v>
      </c>
      <c r="G249" s="105">
        <f>SUM(G233:G248)</f>
        <v>3039842.4699999997</v>
      </c>
      <c r="H249" s="105">
        <f>SUM(H233:H248)</f>
        <v>7912000</v>
      </c>
      <c r="I249" s="236">
        <f>SUM(I233:I248)</f>
        <v>3106892.6199999992</v>
      </c>
      <c r="J249" s="74">
        <f>SUM(J233:J248)</f>
        <v>7631879.3399999999</v>
      </c>
      <c r="K249" s="74"/>
      <c r="M249" s="38"/>
    </row>
    <row r="250" spans="1:13" s="71" customFormat="1">
      <c r="A250" s="71" t="s">
        <v>928</v>
      </c>
      <c r="D250" s="108"/>
      <c r="E250" s="108"/>
      <c r="F250" s="108"/>
      <c r="G250" s="108"/>
      <c r="H250" s="108"/>
      <c r="I250" s="238"/>
      <c r="J250" s="70"/>
      <c r="K250" s="70"/>
      <c r="L250" s="70"/>
    </row>
    <row r="251" spans="1:13">
      <c r="A251" s="79">
        <v>293</v>
      </c>
      <c r="B251" s="79">
        <v>374</v>
      </c>
      <c r="C251" s="79" t="s">
        <v>652</v>
      </c>
      <c r="D251" s="104">
        <v>3272778.81</v>
      </c>
      <c r="E251" s="104">
        <v>0</v>
      </c>
      <c r="F251" s="104">
        <v>0</v>
      </c>
      <c r="G251" s="104"/>
      <c r="H251" s="104"/>
      <c r="I251" s="235"/>
      <c r="J251" s="84">
        <f>CAPITAL!G31</f>
        <v>21983840.309499998</v>
      </c>
      <c r="K251" s="91"/>
    </row>
    <row r="252" spans="1:13">
      <c r="A252" s="79">
        <v>293</v>
      </c>
      <c r="B252" s="79">
        <v>440</v>
      </c>
      <c r="C252" s="79" t="s">
        <v>654</v>
      </c>
      <c r="D252" s="104">
        <v>13816438.560000001</v>
      </c>
      <c r="E252" s="104">
        <v>0</v>
      </c>
      <c r="F252" s="104">
        <v>16627392.460000001</v>
      </c>
      <c r="G252" s="104">
        <v>-594980.31999999995</v>
      </c>
      <c r="H252" s="104">
        <f>CAPITAL!F32</f>
        <v>15477005.01</v>
      </c>
      <c r="I252" s="235">
        <v>-594980.31999999995</v>
      </c>
      <c r="J252" s="84">
        <f>CAPITAL!G32</f>
        <v>14003583.75</v>
      </c>
      <c r="K252" s="91"/>
    </row>
    <row r="253" spans="1:13">
      <c r="A253" s="79">
        <v>293</v>
      </c>
      <c r="B253" s="79">
        <v>450</v>
      </c>
      <c r="C253" s="79" t="s">
        <v>655</v>
      </c>
      <c r="D253" s="104">
        <v>1000000</v>
      </c>
      <c r="E253" s="104">
        <v>0</v>
      </c>
      <c r="F253" s="104">
        <v>0</v>
      </c>
      <c r="G253" s="104"/>
      <c r="H253" s="104"/>
      <c r="I253" s="235"/>
      <c r="J253" s="84"/>
      <c r="K253" s="91"/>
    </row>
    <row r="254" spans="1:13">
      <c r="A254" s="79">
        <v>293</v>
      </c>
      <c r="B254" s="79">
        <v>463</v>
      </c>
      <c r="C254" s="79" t="s">
        <v>657</v>
      </c>
      <c r="D254" s="104">
        <v>1213552.1200000001</v>
      </c>
      <c r="E254" s="104">
        <v>0</v>
      </c>
      <c r="F254" s="104">
        <v>2862165</v>
      </c>
      <c r="G254" s="104">
        <v>0</v>
      </c>
      <c r="H254" s="104">
        <f>CAPITAL!F43</f>
        <v>9539903.4600000009</v>
      </c>
      <c r="I254" s="235">
        <v>0</v>
      </c>
      <c r="J254" s="84"/>
      <c r="K254" s="91"/>
    </row>
    <row r="255" spans="1:13">
      <c r="A255" s="90"/>
      <c r="B255" s="90"/>
      <c r="C255" s="17" t="s">
        <v>1126</v>
      </c>
      <c r="D255" s="104"/>
      <c r="E255" s="104"/>
      <c r="F255" s="104"/>
      <c r="G255" s="104"/>
      <c r="H255" s="104"/>
      <c r="I255" s="235"/>
      <c r="J255" s="84">
        <f>CAPITAL!G45</f>
        <v>3733472.91</v>
      </c>
      <c r="K255" s="91"/>
    </row>
    <row r="256" spans="1:13">
      <c r="A256" s="90"/>
      <c r="B256" s="90"/>
      <c r="C256" s="17" t="s">
        <v>1141</v>
      </c>
      <c r="D256" s="104"/>
      <c r="E256" s="104"/>
      <c r="F256" s="104"/>
      <c r="G256" s="104"/>
      <c r="H256" s="104"/>
      <c r="I256" s="235"/>
      <c r="J256" s="84">
        <f>CAPITAL!G46</f>
        <v>2374787.2200000002</v>
      </c>
      <c r="K256" s="91"/>
    </row>
    <row r="257" spans="1:16">
      <c r="D257" s="105">
        <f t="shared" ref="D257:I257" si="31">SUM(D251:D256)</f>
        <v>19302769.490000002</v>
      </c>
      <c r="E257" s="105">
        <f t="shared" si="31"/>
        <v>0</v>
      </c>
      <c r="F257" s="105">
        <f t="shared" si="31"/>
        <v>19489557.460000001</v>
      </c>
      <c r="G257" s="105">
        <f t="shared" si="31"/>
        <v>-594980.31999999995</v>
      </c>
      <c r="H257" s="105">
        <f t="shared" si="31"/>
        <v>25016908.469999999</v>
      </c>
      <c r="I257" s="236">
        <f t="shared" si="31"/>
        <v>-594980.31999999995</v>
      </c>
      <c r="J257" s="74">
        <f>SUM(J251:J256)</f>
        <v>42095684.189499989</v>
      </c>
      <c r="K257" s="74"/>
    </row>
    <row r="258" spans="1:16">
      <c r="D258" s="102"/>
      <c r="E258" s="102"/>
      <c r="F258" s="102"/>
      <c r="G258" s="102"/>
      <c r="H258" s="102"/>
      <c r="I258" s="239"/>
    </row>
    <row r="259" spans="1:16" s="71" customFormat="1">
      <c r="A259" s="71" t="s">
        <v>923</v>
      </c>
      <c r="D259" s="108"/>
      <c r="E259" s="108"/>
      <c r="F259" s="108"/>
      <c r="G259" s="108"/>
      <c r="H259" s="108"/>
      <c r="I259" s="238"/>
      <c r="J259" s="70"/>
      <c r="K259" s="70"/>
      <c r="L259" s="70"/>
    </row>
    <row r="260" spans="1:16">
      <c r="A260" s="79">
        <v>293</v>
      </c>
      <c r="B260" s="79">
        <v>8831</v>
      </c>
      <c r="C260" s="79" t="s">
        <v>658</v>
      </c>
      <c r="D260" s="104">
        <v>-284000</v>
      </c>
      <c r="E260" s="104">
        <v>0</v>
      </c>
      <c r="F260" s="104">
        <f>GRANTS!G36</f>
        <v>-315999.99999999994</v>
      </c>
      <c r="G260" s="104">
        <v>0</v>
      </c>
      <c r="H260" s="104">
        <f>GRANTS!H36</f>
        <v>-315999.99999999994</v>
      </c>
      <c r="I260" s="235"/>
      <c r="J260" s="84">
        <f>GRANTS!I36</f>
        <v>-315999.99999999994</v>
      </c>
      <c r="K260" s="91"/>
    </row>
    <row r="261" spans="1:16" ht="15.75" thickBot="1">
      <c r="A261" s="79">
        <v>293</v>
      </c>
      <c r="B261" s="79">
        <v>8875</v>
      </c>
      <c r="C261" s="79" t="s">
        <v>121</v>
      </c>
      <c r="D261" s="104"/>
      <c r="E261" s="104">
        <v>0</v>
      </c>
      <c r="F261" s="104">
        <f>GRANTS!G37</f>
        <v>-1360641</v>
      </c>
      <c r="G261" s="104">
        <v>0</v>
      </c>
      <c r="H261" s="104">
        <f>GRANTS!H37</f>
        <v>-1360641</v>
      </c>
      <c r="I261" s="235"/>
      <c r="J261" s="84">
        <f>GRANTS!I37</f>
        <v>-1360641</v>
      </c>
      <c r="K261" s="91"/>
      <c r="M261" s="38"/>
    </row>
    <row r="262" spans="1:16" ht="15.75" thickBot="1">
      <c r="A262" s="79">
        <v>293</v>
      </c>
      <c r="B262" s="79">
        <v>8877</v>
      </c>
      <c r="C262" s="79" t="s">
        <v>147</v>
      </c>
      <c r="D262" s="104">
        <v>-3594051.58</v>
      </c>
      <c r="E262" s="104">
        <v>0</v>
      </c>
      <c r="F262" s="104">
        <v>0</v>
      </c>
      <c r="G262" s="104">
        <v>0</v>
      </c>
      <c r="H262" s="104">
        <f>GRANTS!H38</f>
        <v>0</v>
      </c>
      <c r="I262" s="235"/>
      <c r="J262" s="84">
        <f>GRANTS!I38</f>
        <v>-2374787.2200000002</v>
      </c>
      <c r="K262" s="91"/>
      <c r="M262" s="61" t="s">
        <v>916</v>
      </c>
      <c r="N262" s="221" t="s">
        <v>1105</v>
      </c>
      <c r="O262" s="59" t="s">
        <v>1103</v>
      </c>
      <c r="P262" s="59" t="s">
        <v>1102</v>
      </c>
    </row>
    <row r="263" spans="1:16">
      <c r="A263" s="79">
        <v>293</v>
      </c>
      <c r="B263" s="79">
        <v>8879</v>
      </c>
      <c r="C263" s="79" t="s">
        <v>659</v>
      </c>
      <c r="D263" s="104">
        <v>-18029990.68</v>
      </c>
      <c r="E263" s="104">
        <v>0</v>
      </c>
      <c r="F263" s="104">
        <f>GRANTS!G39</f>
        <v>-19489557.460000001</v>
      </c>
      <c r="G263" s="104">
        <v>0</v>
      </c>
      <c r="H263" s="104">
        <f>GRANTS!H39</f>
        <v>-19489557.460000001</v>
      </c>
      <c r="I263" s="235"/>
      <c r="J263" s="84">
        <f>GRANTS!I39</f>
        <v>-39720896.960000001</v>
      </c>
      <c r="K263" s="91"/>
      <c r="L263" s="70" t="s">
        <v>966</v>
      </c>
      <c r="M263" s="38">
        <f>D206+D249+D226</f>
        <v>60874990.170000002</v>
      </c>
      <c r="N263" s="38">
        <f>F206+F209+F212+F215+F218+F226+F230+F249</f>
        <v>46680703.309629999</v>
      </c>
      <c r="O263" s="38">
        <f>H206+H209+H212+H215+H218+H226+H230+H249</f>
        <v>46723048.021906249</v>
      </c>
      <c r="P263" s="38">
        <f>J206+J209+J212+J215+J218+J226+J230+J249</f>
        <v>48918625.262334973</v>
      </c>
    </row>
    <row r="264" spans="1:16">
      <c r="A264" s="79">
        <v>293</v>
      </c>
      <c r="B264" s="79">
        <v>8911</v>
      </c>
      <c r="C264" s="79" t="s">
        <v>567</v>
      </c>
      <c r="D264" s="104">
        <v>-15632.74</v>
      </c>
      <c r="E264" s="104">
        <v>-13620.16</v>
      </c>
      <c r="F264" s="104">
        <v>-20430.240000000002</v>
      </c>
      <c r="G264" s="104">
        <v>-10243.049999999999</v>
      </c>
      <c r="H264" s="104">
        <f>'OTHER REVENUE'!H43</f>
        <v>-20430.240000000002</v>
      </c>
      <c r="I264" s="235"/>
      <c r="J264" s="84">
        <v>-30000</v>
      </c>
      <c r="K264" s="91"/>
      <c r="L264" s="70" t="s">
        <v>967</v>
      </c>
      <c r="M264" s="38">
        <f>D266-D262-D263</f>
        <v>-39519632.740000002</v>
      </c>
      <c r="N264" s="38">
        <f>F266-F263</f>
        <v>-50457071.240000002</v>
      </c>
      <c r="O264" s="38">
        <f>H266-H263</f>
        <v>-50457071.240000002</v>
      </c>
      <c r="P264" s="38">
        <f>J266-J263-J262</f>
        <v>-57324948.108571418</v>
      </c>
    </row>
    <row r="265" spans="1:16" ht="15.75" thickBot="1">
      <c r="A265" s="79">
        <v>293</v>
      </c>
      <c r="B265" s="79">
        <v>8951</v>
      </c>
      <c r="C265" s="79" t="s">
        <v>570</v>
      </c>
      <c r="D265" s="104">
        <v>-39220000</v>
      </c>
      <c r="E265" s="104">
        <v>-32083085.219999999</v>
      </c>
      <c r="F265" s="104">
        <v>-48760000</v>
      </c>
      <c r="G265" s="104">
        <v>-24273163.309999999</v>
      </c>
      <c r="H265" s="104">
        <f>F265</f>
        <v>-48760000</v>
      </c>
      <c r="I265" s="291">
        <v>-29494556.800000001</v>
      </c>
      <c r="J265" s="84">
        <f>K265</f>
        <v>-55618307.108571425</v>
      </c>
      <c r="K265" s="91">
        <f>I265/7*12*1.1</f>
        <v>-55618307.108571425</v>
      </c>
      <c r="M265" s="75">
        <f>M263+M264</f>
        <v>21355357.43</v>
      </c>
      <c r="N265" s="75">
        <f>N263+N264</f>
        <v>-3776367.930370003</v>
      </c>
      <c r="O265" s="75">
        <f>O263+O264</f>
        <v>-3734023.2180937529</v>
      </c>
      <c r="P265" s="75">
        <f>P263+P264</f>
        <v>-8406322.846236445</v>
      </c>
    </row>
    <row r="266" spans="1:16" ht="15.75" thickTop="1">
      <c r="D266" s="105">
        <f t="shared" ref="D266:J266" si="32">SUM(D260:D265)</f>
        <v>-61143675</v>
      </c>
      <c r="E266" s="105">
        <f t="shared" si="32"/>
        <v>-32096705.379999999</v>
      </c>
      <c r="F266" s="105">
        <f t="shared" si="32"/>
        <v>-69946628.700000003</v>
      </c>
      <c r="G266" s="105">
        <f t="shared" si="32"/>
        <v>-24283406.359999999</v>
      </c>
      <c r="H266" s="105">
        <f t="shared" si="32"/>
        <v>-69946628.700000003</v>
      </c>
      <c r="I266" s="236">
        <f t="shared" si="32"/>
        <v>-29494556.800000001</v>
      </c>
      <c r="J266" s="74">
        <f t="shared" si="32"/>
        <v>-99420632.288571417</v>
      </c>
      <c r="K266" s="74"/>
      <c r="M266" s="38"/>
    </row>
    <row r="267" spans="1:16">
      <c r="D267" s="102"/>
      <c r="E267" s="102"/>
      <c r="F267" s="102"/>
      <c r="G267" s="102"/>
      <c r="H267" s="102"/>
      <c r="I267" s="239"/>
    </row>
    <row r="268" spans="1:16">
      <c r="D268" s="102"/>
      <c r="E268" s="102"/>
      <c r="F268" s="102"/>
      <c r="G268" s="102"/>
      <c r="H268" s="102"/>
      <c r="I268" s="239"/>
      <c r="K268" s="38">
        <v>-3033725.84</v>
      </c>
    </row>
    <row r="269" spans="1:16">
      <c r="D269" s="102"/>
      <c r="E269" s="102"/>
      <c r="F269" s="102"/>
      <c r="G269" s="102"/>
      <c r="H269" s="102"/>
      <c r="I269" s="239"/>
    </row>
    <row r="270" spans="1:16">
      <c r="D270" s="102"/>
      <c r="E270" s="102"/>
      <c r="F270" s="102"/>
      <c r="G270" s="102"/>
      <c r="H270" s="102"/>
      <c r="I270" s="239"/>
    </row>
    <row r="271" spans="1:16">
      <c r="C271" s="78" t="s">
        <v>931</v>
      </c>
      <c r="D271" s="112"/>
      <c r="E271" s="102"/>
      <c r="F271" s="112"/>
      <c r="G271" s="113"/>
      <c r="H271" s="112"/>
      <c r="I271" s="253"/>
      <c r="J271" s="94"/>
      <c r="K271" s="94"/>
    </row>
    <row r="272" spans="1:16" ht="15.75" thickBot="1">
      <c r="C272" s="38"/>
      <c r="D272" s="102"/>
      <c r="E272" s="102"/>
      <c r="F272" s="102"/>
      <c r="G272" s="102"/>
      <c r="H272" s="102"/>
      <c r="I272" s="239"/>
    </row>
    <row r="273" spans="1:12" ht="15.75" thickBot="1">
      <c r="C273" s="61" t="s">
        <v>916</v>
      </c>
      <c r="D273" s="195" t="s">
        <v>1102</v>
      </c>
      <c r="E273" s="225"/>
      <c r="F273" s="226" t="s">
        <v>1103</v>
      </c>
      <c r="G273" s="102"/>
      <c r="H273" s="226" t="s">
        <v>1117</v>
      </c>
      <c r="I273" s="239"/>
    </row>
    <row r="274" spans="1:12">
      <c r="A274" s="35">
        <v>275</v>
      </c>
      <c r="B274" s="35" t="s">
        <v>489</v>
      </c>
      <c r="C274" s="38">
        <f>M59</f>
        <v>11657119.98</v>
      </c>
      <c r="D274" s="102">
        <f>N59</f>
        <v>38711010.518440001</v>
      </c>
      <c r="E274" s="102"/>
      <c r="F274" s="102">
        <f>O59</f>
        <v>48605133.666964062</v>
      </c>
      <c r="G274" s="102">
        <f>P59</f>
        <v>44316005.843173906</v>
      </c>
      <c r="H274" s="102">
        <f>P59</f>
        <v>44316005.843173906</v>
      </c>
      <c r="I274" s="239"/>
    </row>
    <row r="275" spans="1:12">
      <c r="A275" s="35">
        <v>290</v>
      </c>
      <c r="B275" s="35" t="s">
        <v>577</v>
      </c>
      <c r="C275" s="38">
        <f>M127</f>
        <v>-39620979.650000006</v>
      </c>
      <c r="D275" s="102">
        <f>N127</f>
        <v>18260080.554790005</v>
      </c>
      <c r="E275" s="102"/>
      <c r="F275" s="102">
        <f>O127</f>
        <v>14428138.123902097</v>
      </c>
      <c r="G275" s="102"/>
      <c r="H275" s="102">
        <f>P127</f>
        <v>-474567.1310455054</v>
      </c>
      <c r="I275" s="239"/>
    </row>
    <row r="276" spans="1:12">
      <c r="A276" s="35">
        <v>291</v>
      </c>
      <c r="B276" s="35" t="s">
        <v>930</v>
      </c>
      <c r="C276" s="38">
        <f>M188</f>
        <v>9946235.1499999985</v>
      </c>
      <c r="D276" s="102">
        <f>N188</f>
        <v>1632045.9659099951</v>
      </c>
      <c r="E276" s="102"/>
      <c r="F276" s="102">
        <f>O188</f>
        <v>-2173030.9293326512</v>
      </c>
      <c r="G276" s="102"/>
      <c r="H276" s="102">
        <f>P188</f>
        <v>2227058.317036245</v>
      </c>
      <c r="I276" s="239"/>
    </row>
    <row r="277" spans="1:12">
      <c r="A277" s="35">
        <v>293</v>
      </c>
      <c r="B277" s="35" t="s">
        <v>663</v>
      </c>
      <c r="C277" s="38">
        <f>M265</f>
        <v>21355357.43</v>
      </c>
      <c r="D277" s="102">
        <f>N265</f>
        <v>-3776367.930370003</v>
      </c>
      <c r="E277" s="102"/>
      <c r="F277" s="102">
        <f>O265</f>
        <v>-3734023.2180937529</v>
      </c>
      <c r="G277" s="102"/>
      <c r="H277" s="102">
        <f>P265</f>
        <v>-8406322.846236445</v>
      </c>
      <c r="I277" s="239"/>
    </row>
    <row r="278" spans="1:12" ht="15.75" thickBot="1">
      <c r="C278" s="75">
        <f t="shared" ref="C278:H278" si="33">SUM(C274:C277)</f>
        <v>3337732.9099999927</v>
      </c>
      <c r="D278" s="114">
        <f t="shared" si="33"/>
        <v>54826769.108769998</v>
      </c>
      <c r="E278" s="114">
        <f t="shared" si="33"/>
        <v>0</v>
      </c>
      <c r="F278" s="114">
        <f t="shared" si="33"/>
        <v>57126217.643439755</v>
      </c>
      <c r="G278" s="114">
        <f t="shared" si="33"/>
        <v>44316005.843173906</v>
      </c>
      <c r="H278" s="114">
        <f t="shared" si="33"/>
        <v>37662174.182928197</v>
      </c>
      <c r="I278" s="243"/>
      <c r="J278" s="35"/>
      <c r="K278" s="35"/>
      <c r="L278" s="35"/>
    </row>
    <row r="279" spans="1:12" ht="15.75" thickTop="1">
      <c r="D279" s="102"/>
      <c r="E279" s="102"/>
      <c r="F279" s="102"/>
      <c r="G279" s="159"/>
      <c r="H279" s="159"/>
      <c r="I279" s="243"/>
      <c r="J279" s="35"/>
      <c r="K279" s="35"/>
      <c r="L279" s="35"/>
    </row>
    <row r="280" spans="1:12">
      <c r="D280" s="102"/>
      <c r="E280" s="102"/>
      <c r="F280" s="102"/>
      <c r="G280" s="102"/>
      <c r="H280" s="102"/>
      <c r="I280" s="239"/>
    </row>
    <row r="281" spans="1:12">
      <c r="D281" s="102"/>
      <c r="E281" s="102"/>
      <c r="F281" s="102"/>
      <c r="G281" s="102"/>
      <c r="H281" s="102"/>
      <c r="I281" s="239"/>
    </row>
    <row r="282" spans="1:12">
      <c r="D282" s="102"/>
      <c r="E282" s="102"/>
      <c r="F282" s="102"/>
      <c r="G282" s="102"/>
      <c r="H282" s="102"/>
      <c r="I282" s="239"/>
    </row>
    <row r="283" spans="1:12">
      <c r="D283" s="102"/>
      <c r="E283" s="102"/>
      <c r="F283" s="102"/>
      <c r="G283" s="102"/>
      <c r="H283" s="102"/>
      <c r="I283" s="239"/>
    </row>
    <row r="284" spans="1:12">
      <c r="D284" s="102"/>
      <c r="E284" s="102"/>
      <c r="F284" s="102"/>
      <c r="G284" s="102"/>
      <c r="H284" s="102"/>
      <c r="I284" s="239"/>
    </row>
    <row r="285" spans="1:12">
      <c r="D285" s="102"/>
      <c r="E285" s="102"/>
      <c r="F285" s="102"/>
      <c r="G285" s="102"/>
      <c r="H285" s="102"/>
      <c r="I285" s="239"/>
    </row>
    <row r="286" spans="1:12">
      <c r="D286" s="102"/>
      <c r="E286" s="102"/>
      <c r="F286" s="102"/>
      <c r="G286" s="102"/>
      <c r="H286" s="102"/>
      <c r="I286" s="239"/>
    </row>
    <row r="287" spans="1:12">
      <c r="D287" s="102"/>
      <c r="E287" s="102"/>
      <c r="F287" s="102"/>
      <c r="G287" s="102"/>
      <c r="H287" s="102"/>
      <c r="I287" s="239"/>
    </row>
    <row r="288" spans="1:12">
      <c r="D288" s="102"/>
      <c r="E288" s="102"/>
      <c r="F288" s="102"/>
      <c r="G288" s="102"/>
      <c r="H288" s="102"/>
      <c r="I288" s="239"/>
    </row>
    <row r="289" spans="4:12">
      <c r="D289" s="102"/>
      <c r="E289" s="102"/>
      <c r="F289" s="102"/>
      <c r="G289" s="102"/>
      <c r="H289" s="102"/>
      <c r="I289" s="239"/>
    </row>
    <row r="290" spans="4:12">
      <c r="D290" s="102"/>
      <c r="E290" s="102"/>
      <c r="F290" s="102"/>
      <c r="G290" s="102"/>
      <c r="H290" s="102"/>
      <c r="I290" s="239"/>
    </row>
    <row r="291" spans="4:12">
      <c r="D291" s="102"/>
      <c r="E291" s="102"/>
      <c r="F291" s="102"/>
      <c r="G291" s="102"/>
      <c r="H291" s="102"/>
      <c r="I291" s="239"/>
    </row>
    <row r="292" spans="4:12">
      <c r="D292" s="102"/>
      <c r="E292" s="102"/>
      <c r="F292" s="102"/>
      <c r="G292" s="102"/>
      <c r="H292" s="102"/>
      <c r="I292" s="239"/>
    </row>
    <row r="293" spans="4:12">
      <c r="D293" s="102"/>
      <c r="E293" s="102"/>
      <c r="F293" s="102"/>
      <c r="G293" s="102"/>
      <c r="H293" s="102"/>
      <c r="I293" s="239"/>
    </row>
    <row r="294" spans="4:12">
      <c r="D294" s="102"/>
      <c r="E294" s="102"/>
      <c r="F294" s="102"/>
      <c r="G294" s="102"/>
      <c r="H294" s="102"/>
      <c r="I294" s="239"/>
      <c r="J294" s="35"/>
      <c r="K294" s="35"/>
      <c r="L294" s="35"/>
    </row>
    <row r="295" spans="4:12">
      <c r="D295" s="102"/>
      <c r="E295" s="102"/>
      <c r="F295" s="102"/>
      <c r="G295" s="102"/>
      <c r="H295" s="102"/>
      <c r="I295" s="239"/>
      <c r="J295" s="35"/>
      <c r="K295" s="35"/>
      <c r="L295" s="35"/>
    </row>
    <row r="296" spans="4:12">
      <c r="D296" s="102"/>
      <c r="E296" s="102"/>
      <c r="F296" s="102"/>
      <c r="G296" s="102"/>
      <c r="H296" s="102"/>
      <c r="I296" s="239"/>
      <c r="J296" s="35"/>
      <c r="K296" s="35"/>
      <c r="L296" s="35"/>
    </row>
    <row r="297" spans="4:12">
      <c r="D297" s="102"/>
      <c r="E297" s="102"/>
      <c r="F297" s="102"/>
      <c r="G297" s="102"/>
      <c r="H297" s="102"/>
      <c r="I297" s="239"/>
      <c r="J297" s="35"/>
      <c r="K297" s="35"/>
      <c r="L297" s="35"/>
    </row>
    <row r="298" spans="4:12">
      <c r="D298" s="102"/>
      <c r="E298" s="102"/>
      <c r="F298" s="102"/>
      <c r="G298" s="102"/>
      <c r="H298" s="102"/>
      <c r="I298" s="239"/>
      <c r="J298" s="35"/>
      <c r="K298" s="35"/>
      <c r="L298" s="35"/>
    </row>
    <row r="299" spans="4:12">
      <c r="D299" s="102"/>
      <c r="E299" s="102"/>
      <c r="F299" s="102"/>
      <c r="G299" s="102"/>
      <c r="H299" s="102"/>
      <c r="I299" s="239"/>
      <c r="J299" s="35"/>
      <c r="K299" s="35"/>
      <c r="L299" s="35"/>
    </row>
    <row r="300" spans="4:12">
      <c r="D300" s="102"/>
      <c r="E300" s="102"/>
      <c r="F300" s="102"/>
      <c r="G300" s="102"/>
      <c r="H300" s="102"/>
      <c r="I300" s="239"/>
      <c r="J300" s="35"/>
      <c r="K300" s="35"/>
      <c r="L300" s="35"/>
    </row>
    <row r="301" spans="4:12">
      <c r="D301" s="102"/>
      <c r="E301" s="102"/>
      <c r="F301" s="102"/>
      <c r="G301" s="102"/>
      <c r="H301" s="102"/>
      <c r="I301" s="239"/>
      <c r="J301" s="35"/>
      <c r="K301" s="35"/>
      <c r="L301" s="35"/>
    </row>
    <row r="302" spans="4:12">
      <c r="D302" s="102"/>
      <c r="E302" s="102"/>
      <c r="F302" s="102"/>
      <c r="G302" s="102"/>
      <c r="H302" s="102"/>
      <c r="I302" s="239"/>
      <c r="J302" s="35"/>
      <c r="K302" s="35"/>
      <c r="L302" s="35"/>
    </row>
    <row r="303" spans="4:12">
      <c r="D303" s="102"/>
      <c r="E303" s="102"/>
      <c r="F303" s="102"/>
      <c r="G303" s="102"/>
      <c r="H303" s="102"/>
      <c r="I303" s="239"/>
      <c r="J303" s="35"/>
      <c r="K303" s="35"/>
      <c r="L303" s="35"/>
    </row>
    <row r="304" spans="4:12">
      <c r="D304" s="102"/>
      <c r="E304" s="102"/>
      <c r="F304" s="102"/>
      <c r="G304" s="102"/>
      <c r="H304" s="102"/>
      <c r="I304" s="239"/>
      <c r="J304" s="35"/>
      <c r="K304" s="35"/>
      <c r="L304" s="35"/>
    </row>
    <row r="305" spans="4:12">
      <c r="D305" s="102"/>
      <c r="E305" s="102"/>
      <c r="F305" s="102"/>
      <c r="G305" s="102"/>
      <c r="H305" s="102"/>
      <c r="I305" s="239"/>
      <c r="J305" s="35"/>
      <c r="K305" s="35"/>
      <c r="L305" s="35"/>
    </row>
    <row r="306" spans="4:12">
      <c r="D306" s="102"/>
      <c r="E306" s="102"/>
      <c r="F306" s="102"/>
      <c r="G306" s="102"/>
      <c r="H306" s="102"/>
      <c r="I306" s="239"/>
      <c r="J306" s="35"/>
      <c r="K306" s="35"/>
      <c r="L306" s="35"/>
    </row>
    <row r="307" spans="4:12">
      <c r="D307" s="102"/>
      <c r="E307" s="102"/>
      <c r="F307" s="102"/>
      <c r="G307" s="102"/>
      <c r="H307" s="102"/>
      <c r="I307" s="239"/>
      <c r="J307" s="35"/>
      <c r="K307" s="35"/>
      <c r="L307" s="35"/>
    </row>
    <row r="308" spans="4:12">
      <c r="D308" s="102"/>
      <c r="E308" s="102"/>
      <c r="F308" s="102"/>
      <c r="G308" s="102"/>
      <c r="H308" s="102"/>
      <c r="I308" s="239"/>
      <c r="J308" s="35"/>
      <c r="K308" s="35"/>
      <c r="L308" s="35"/>
    </row>
    <row r="309" spans="4:12">
      <c r="D309" s="102"/>
      <c r="E309" s="102"/>
      <c r="F309" s="102"/>
      <c r="G309" s="102"/>
      <c r="H309" s="102"/>
      <c r="I309" s="239"/>
      <c r="J309" s="35"/>
      <c r="K309" s="35"/>
      <c r="L309" s="35"/>
    </row>
    <row r="310" spans="4:12">
      <c r="D310" s="102"/>
      <c r="E310" s="102"/>
      <c r="F310" s="102"/>
      <c r="G310" s="102"/>
      <c r="H310" s="102"/>
      <c r="I310" s="239"/>
      <c r="J310" s="35"/>
      <c r="K310" s="35"/>
      <c r="L310" s="35"/>
    </row>
    <row r="311" spans="4:12">
      <c r="D311" s="102"/>
      <c r="E311" s="102"/>
      <c r="F311" s="102"/>
      <c r="G311" s="102"/>
      <c r="H311" s="102"/>
      <c r="I311" s="239"/>
      <c r="J311" s="35"/>
      <c r="K311" s="35"/>
      <c r="L311" s="35"/>
    </row>
    <row r="312" spans="4:12">
      <c r="D312" s="102"/>
      <c r="E312" s="102"/>
      <c r="F312" s="102"/>
      <c r="G312" s="102"/>
      <c r="H312" s="102"/>
      <c r="I312" s="239"/>
      <c r="J312" s="35"/>
      <c r="K312" s="35"/>
      <c r="L312" s="35"/>
    </row>
    <row r="313" spans="4:12">
      <c r="D313" s="102"/>
      <c r="E313" s="102"/>
      <c r="F313" s="102"/>
      <c r="G313" s="102"/>
      <c r="H313" s="102"/>
      <c r="I313" s="239"/>
      <c r="J313" s="35"/>
      <c r="K313" s="35"/>
      <c r="L313" s="35"/>
    </row>
    <row r="314" spans="4:12">
      <c r="D314" s="102"/>
      <c r="E314" s="102"/>
      <c r="F314" s="102"/>
      <c r="G314" s="102"/>
      <c r="H314" s="102"/>
      <c r="I314" s="239"/>
      <c r="J314" s="35"/>
      <c r="K314" s="35"/>
      <c r="L314" s="35"/>
    </row>
    <row r="315" spans="4:12">
      <c r="D315" s="102"/>
      <c r="E315" s="102"/>
      <c r="F315" s="102"/>
      <c r="G315" s="102"/>
      <c r="H315" s="102"/>
      <c r="I315" s="239"/>
      <c r="J315" s="35"/>
      <c r="K315" s="35"/>
      <c r="L315" s="35"/>
    </row>
    <row r="316" spans="4:12">
      <c r="D316" s="102"/>
      <c r="E316" s="102"/>
      <c r="F316" s="102"/>
      <c r="G316" s="102"/>
      <c r="H316" s="102"/>
      <c r="I316" s="239"/>
      <c r="J316" s="35"/>
      <c r="K316" s="35"/>
      <c r="L316" s="35"/>
    </row>
    <row r="317" spans="4:12">
      <c r="D317" s="102"/>
      <c r="E317" s="102"/>
      <c r="F317" s="102"/>
      <c r="G317" s="102"/>
      <c r="H317" s="102"/>
      <c r="I317" s="239"/>
      <c r="J317" s="35"/>
      <c r="K317" s="35"/>
      <c r="L317" s="35"/>
    </row>
    <row r="318" spans="4:12">
      <c r="D318" s="102"/>
      <c r="E318" s="102"/>
      <c r="F318" s="102"/>
      <c r="G318" s="102"/>
      <c r="H318" s="102"/>
      <c r="I318" s="239"/>
      <c r="J318" s="35"/>
      <c r="K318" s="35"/>
      <c r="L318" s="35"/>
    </row>
    <row r="319" spans="4:12">
      <c r="D319" s="102"/>
      <c r="E319" s="102"/>
      <c r="F319" s="102"/>
      <c r="G319" s="102"/>
      <c r="H319" s="102"/>
      <c r="I319" s="239"/>
      <c r="J319" s="35"/>
      <c r="K319" s="35"/>
      <c r="L319" s="35"/>
    </row>
    <row r="320" spans="4:12">
      <c r="D320" s="102"/>
      <c r="E320" s="102"/>
      <c r="F320" s="102"/>
      <c r="G320" s="102"/>
      <c r="H320" s="102"/>
      <c r="I320" s="239"/>
      <c r="J320" s="35"/>
      <c r="K320" s="35"/>
      <c r="L320" s="35"/>
    </row>
    <row r="321" spans="4:12">
      <c r="D321" s="102"/>
      <c r="E321" s="102"/>
      <c r="F321" s="102"/>
      <c r="G321" s="102"/>
      <c r="H321" s="102"/>
      <c r="I321" s="239"/>
      <c r="J321" s="35"/>
      <c r="K321" s="35"/>
      <c r="L321" s="35"/>
    </row>
    <row r="322" spans="4:12">
      <c r="D322" s="102"/>
      <c r="E322" s="102"/>
      <c r="F322" s="102"/>
      <c r="G322" s="102"/>
      <c r="H322" s="102"/>
      <c r="I322" s="239"/>
      <c r="J322" s="35"/>
      <c r="K322" s="35"/>
      <c r="L322" s="35"/>
    </row>
    <row r="323" spans="4:12">
      <c r="D323" s="102"/>
      <c r="E323" s="102"/>
      <c r="F323" s="102"/>
      <c r="G323" s="102"/>
      <c r="H323" s="102"/>
      <c r="I323" s="239"/>
      <c r="J323" s="35"/>
      <c r="K323" s="35"/>
      <c r="L323" s="35"/>
    </row>
    <row r="324" spans="4:12">
      <c r="D324" s="102"/>
      <c r="E324" s="102"/>
      <c r="F324" s="102"/>
      <c r="G324" s="102"/>
      <c r="H324" s="102"/>
      <c r="I324" s="239"/>
      <c r="J324" s="35"/>
      <c r="K324" s="35"/>
      <c r="L324" s="35"/>
    </row>
    <row r="325" spans="4:12">
      <c r="D325" s="102"/>
      <c r="E325" s="102"/>
      <c r="F325" s="102"/>
      <c r="G325" s="102"/>
      <c r="H325" s="102"/>
      <c r="I325" s="239"/>
      <c r="J325" s="35"/>
      <c r="K325" s="35"/>
      <c r="L325" s="35"/>
    </row>
    <row r="326" spans="4:12">
      <c r="D326" s="102"/>
      <c r="E326" s="102"/>
      <c r="F326" s="102"/>
      <c r="G326" s="102"/>
      <c r="H326" s="102"/>
      <c r="I326" s="239"/>
      <c r="J326" s="35"/>
      <c r="K326" s="35"/>
      <c r="L326" s="35"/>
    </row>
    <row r="327" spans="4:12">
      <c r="D327" s="102"/>
      <c r="E327" s="102"/>
      <c r="F327" s="102"/>
      <c r="G327" s="102"/>
      <c r="H327" s="102"/>
      <c r="I327" s="239"/>
      <c r="J327" s="35"/>
      <c r="K327" s="35"/>
      <c r="L327" s="35"/>
    </row>
    <row r="328" spans="4:12">
      <c r="D328" s="102"/>
      <c r="E328" s="102"/>
      <c r="F328" s="102"/>
      <c r="G328" s="102"/>
      <c r="H328" s="102"/>
      <c r="I328" s="239"/>
      <c r="J328" s="35"/>
      <c r="K328" s="35"/>
      <c r="L328" s="35"/>
    </row>
    <row r="329" spans="4:12">
      <c r="D329" s="102"/>
      <c r="E329" s="102"/>
      <c r="F329" s="102"/>
      <c r="G329" s="102"/>
      <c r="H329" s="102"/>
      <c r="I329" s="239"/>
      <c r="J329" s="35"/>
      <c r="K329" s="35"/>
      <c r="L329" s="35"/>
    </row>
    <row r="330" spans="4:12">
      <c r="D330" s="102"/>
      <c r="E330" s="102"/>
      <c r="F330" s="102"/>
      <c r="G330" s="102"/>
      <c r="H330" s="102"/>
      <c r="I330" s="239"/>
      <c r="J330" s="35"/>
      <c r="K330" s="35"/>
      <c r="L330" s="35"/>
    </row>
    <row r="331" spans="4:12">
      <c r="D331" s="102"/>
      <c r="E331" s="102"/>
      <c r="F331" s="102"/>
      <c r="G331" s="102"/>
      <c r="H331" s="102"/>
      <c r="I331" s="239"/>
      <c r="J331" s="35"/>
      <c r="K331" s="35"/>
      <c r="L331" s="35"/>
    </row>
    <row r="332" spans="4:12">
      <c r="D332" s="102"/>
      <c r="E332" s="102"/>
      <c r="F332" s="102"/>
      <c r="G332" s="102"/>
      <c r="H332" s="102"/>
      <c r="I332" s="239"/>
      <c r="J332" s="35"/>
      <c r="K332" s="35"/>
      <c r="L332" s="35"/>
    </row>
    <row r="333" spans="4:12">
      <c r="D333" s="102"/>
      <c r="E333" s="102"/>
      <c r="F333" s="102"/>
      <c r="G333" s="102"/>
      <c r="H333" s="102"/>
      <c r="I333" s="239"/>
      <c r="J333" s="35"/>
      <c r="K333" s="35"/>
      <c r="L333" s="35"/>
    </row>
    <row r="334" spans="4:12">
      <c r="D334" s="102"/>
      <c r="E334" s="102"/>
      <c r="F334" s="102"/>
      <c r="G334" s="102"/>
      <c r="H334" s="102"/>
      <c r="I334" s="239"/>
      <c r="J334" s="35"/>
      <c r="K334" s="35"/>
      <c r="L334" s="35"/>
    </row>
    <row r="335" spans="4:12">
      <c r="D335" s="102"/>
      <c r="E335" s="102"/>
      <c r="F335" s="102"/>
      <c r="G335" s="102"/>
      <c r="H335" s="102"/>
      <c r="I335" s="239"/>
      <c r="J335" s="35"/>
      <c r="K335" s="35"/>
      <c r="L335" s="35"/>
    </row>
    <row r="336" spans="4:12">
      <c r="D336" s="102"/>
      <c r="E336" s="102"/>
      <c r="F336" s="102"/>
      <c r="G336" s="102"/>
      <c r="H336" s="102"/>
      <c r="I336" s="239"/>
      <c r="J336" s="35"/>
      <c r="K336" s="35"/>
      <c r="L336" s="35"/>
    </row>
  </sheetData>
  <pageMargins left="0.70866141732283472" right="0.70866141732283472" top="0.74803149606299213" bottom="0.74803149606299213" header="0.31496062992125984" footer="0.31496062992125984"/>
  <pageSetup scale="55" orientation="landscape" r:id="rId1"/>
  <colBreaks count="2" manualBreakCount="2">
    <brk id="11" max="264" man="1"/>
    <brk id="14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5"/>
  <sheetViews>
    <sheetView topLeftCell="D1" zoomScaleNormal="100" workbookViewId="0">
      <pane ySplit="2" topLeftCell="A205" activePane="bottomLeft" state="frozen"/>
      <selection pane="bottomLeft" activeCell="J218" sqref="J218"/>
    </sheetView>
  </sheetViews>
  <sheetFormatPr defaultRowHeight="15"/>
  <cols>
    <col min="3" max="3" width="32.7109375" bestFit="1" customWidth="1"/>
    <col min="4" max="4" width="24.28515625" style="180" bestFit="1" customWidth="1"/>
    <col min="5" max="5" width="23.85546875" style="180" hidden="1" customWidth="1"/>
    <col min="6" max="6" width="19.7109375" style="164" bestFit="1" customWidth="1"/>
    <col min="7" max="7" width="20.7109375" style="172" hidden="1" customWidth="1"/>
    <col min="8" max="8" width="26" bestFit="1" customWidth="1"/>
    <col min="9" max="11" width="26" customWidth="1"/>
    <col min="12" max="12" width="14" style="185" hidden="1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0"/>
      <c r="M1" s="27"/>
    </row>
    <row r="2" spans="1:13" s="1" customFormat="1" ht="15.75" thickBot="1">
      <c r="A2" s="151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76" t="s">
        <v>1104</v>
      </c>
      <c r="H2" s="152" t="s">
        <v>1103</v>
      </c>
      <c r="I2" s="152" t="s">
        <v>1118</v>
      </c>
      <c r="J2" s="152" t="s">
        <v>1123</v>
      </c>
      <c r="K2" s="231"/>
      <c r="L2" s="183"/>
      <c r="M2" s="44"/>
    </row>
    <row r="3" spans="1:13">
      <c r="A3">
        <v>219</v>
      </c>
      <c r="B3">
        <v>1</v>
      </c>
      <c r="C3" t="s">
        <v>16</v>
      </c>
      <c r="D3" s="277">
        <v>810266.62</v>
      </c>
      <c r="E3" s="277">
        <v>563954.65</v>
      </c>
      <c r="F3" s="277">
        <f>L3*5.8/100+L3</f>
        <v>894996.02955000009</v>
      </c>
      <c r="G3" s="277">
        <v>429265.98</v>
      </c>
      <c r="H3" s="277">
        <f>F3*1.07/100+F3</f>
        <v>904572.4870661851</v>
      </c>
      <c r="I3" s="275">
        <v>429265.98</v>
      </c>
      <c r="J3" s="2">
        <v>958846.83629015624</v>
      </c>
      <c r="K3" s="2">
        <f>I3/7*12*1.06</f>
        <v>780037.60937142861</v>
      </c>
      <c r="L3" s="184">
        <f>E3/8*12</f>
        <v>845931.97500000009</v>
      </c>
    </row>
    <row r="4" spans="1:13">
      <c r="A4">
        <v>219</v>
      </c>
      <c r="B4">
        <v>6</v>
      </c>
      <c r="C4" t="s">
        <v>19</v>
      </c>
      <c r="D4" s="277">
        <v>56646</v>
      </c>
      <c r="E4" s="277">
        <v>40283.4</v>
      </c>
      <c r="F4" s="277">
        <f t="shared" ref="F4:F13" si="0">L4*5.8/100+L4</f>
        <v>63929.755800000006</v>
      </c>
      <c r="G4" s="277">
        <v>31095</v>
      </c>
      <c r="H4" s="277">
        <f t="shared" ref="H4:H13" si="1">F4*1.07/100+F4</f>
        <v>64613.804187060006</v>
      </c>
      <c r="I4" s="275">
        <v>31095</v>
      </c>
      <c r="J4" s="2">
        <v>68490.632438283603</v>
      </c>
      <c r="K4" s="2">
        <f t="shared" ref="K4:K67" si="2">I4/7*12*1.06</f>
        <v>56504.057142857142</v>
      </c>
      <c r="L4" s="184">
        <f t="shared" ref="L4:L13" si="3">E4/8*12</f>
        <v>60425.100000000006</v>
      </c>
    </row>
    <row r="5" spans="1:13">
      <c r="A5">
        <v>219</v>
      </c>
      <c r="B5">
        <v>8</v>
      </c>
      <c r="C5" t="s">
        <v>21</v>
      </c>
      <c r="D5" s="277">
        <v>3272.94</v>
      </c>
      <c r="E5" s="277">
        <v>1952.45</v>
      </c>
      <c r="F5" s="277">
        <f t="shared" si="0"/>
        <v>3098.5381500000003</v>
      </c>
      <c r="G5" s="277">
        <v>0</v>
      </c>
      <c r="H5" s="277">
        <f>F5*1.07/100+F5</f>
        <v>3131.6925082050002</v>
      </c>
      <c r="I5" s="275">
        <v>0</v>
      </c>
      <c r="J5" s="2">
        <v>3319.5940586973002</v>
      </c>
      <c r="K5" s="2">
        <f t="shared" si="2"/>
        <v>0</v>
      </c>
      <c r="L5" s="184">
        <f t="shared" si="3"/>
        <v>2928.6750000000002</v>
      </c>
    </row>
    <row r="6" spans="1:13">
      <c r="A6">
        <v>219</v>
      </c>
      <c r="B6">
        <v>10</v>
      </c>
      <c r="C6" t="s">
        <v>22</v>
      </c>
      <c r="D6" s="277">
        <v>203046.66</v>
      </c>
      <c r="E6" s="277">
        <v>120883.38</v>
      </c>
      <c r="F6" s="277">
        <f t="shared" si="0"/>
        <v>191841.92406000002</v>
      </c>
      <c r="G6" s="277">
        <v>92612.65</v>
      </c>
      <c r="H6" s="277">
        <f>F6*1.07/100+F6</f>
        <v>193894.63264744202</v>
      </c>
      <c r="I6" s="275">
        <v>92612.65</v>
      </c>
      <c r="J6" s="2">
        <v>205528.31060628855</v>
      </c>
      <c r="K6" s="2">
        <f t="shared" si="2"/>
        <v>168290.41542857143</v>
      </c>
      <c r="L6" s="184">
        <f t="shared" si="3"/>
        <v>181325.07</v>
      </c>
    </row>
    <row r="7" spans="1:13" s="35" customFormat="1">
      <c r="A7" s="35">
        <v>219</v>
      </c>
      <c r="B7" s="35">
        <v>11</v>
      </c>
      <c r="C7" s="35" t="s">
        <v>24</v>
      </c>
      <c r="D7" s="277">
        <v>15870.06</v>
      </c>
      <c r="E7" s="277">
        <v>7935.03</v>
      </c>
      <c r="F7" s="277">
        <f t="shared" si="0"/>
        <v>12592.892610000001</v>
      </c>
      <c r="G7" s="277">
        <v>22590.57</v>
      </c>
      <c r="H7" s="277">
        <v>45181.14</v>
      </c>
      <c r="I7" s="275">
        <v>22590.57</v>
      </c>
      <c r="J7" s="2">
        <v>47892.008399999999</v>
      </c>
      <c r="K7" s="2">
        <f t="shared" si="2"/>
        <v>41050.292914285717</v>
      </c>
      <c r="L7" s="271">
        <f t="shared" si="3"/>
        <v>11902.545</v>
      </c>
    </row>
    <row r="8" spans="1:13">
      <c r="A8">
        <v>219</v>
      </c>
      <c r="B8">
        <v>14</v>
      </c>
      <c r="C8" t="s">
        <v>25</v>
      </c>
      <c r="D8" s="277">
        <v>104829</v>
      </c>
      <c r="E8" s="277">
        <v>73885.5</v>
      </c>
      <c r="F8" s="277">
        <f t="shared" si="0"/>
        <v>117256.2885</v>
      </c>
      <c r="G8" s="277">
        <v>53677.5</v>
      </c>
      <c r="H8" s="277">
        <f t="shared" si="1"/>
        <v>118510.93078694999</v>
      </c>
      <c r="I8" s="275">
        <v>53677.5</v>
      </c>
      <c r="J8" s="2">
        <v>125621.58663416699</v>
      </c>
      <c r="K8" s="2">
        <f t="shared" si="2"/>
        <v>97539.685714285704</v>
      </c>
      <c r="L8" s="184">
        <f t="shared" si="3"/>
        <v>110828.25</v>
      </c>
    </row>
    <row r="9" spans="1:13">
      <c r="A9">
        <v>219</v>
      </c>
      <c r="B9">
        <v>16</v>
      </c>
      <c r="C9" t="s">
        <v>27</v>
      </c>
      <c r="D9" s="277">
        <v>7758.04</v>
      </c>
      <c r="E9" s="277">
        <v>5347.27</v>
      </c>
      <c r="F9" s="277">
        <f t="shared" si="0"/>
        <v>8486.1174900000005</v>
      </c>
      <c r="G9" s="277">
        <v>4027.86</v>
      </c>
      <c r="H9" s="277">
        <f t="shared" si="1"/>
        <v>8576.918947143</v>
      </c>
      <c r="I9" s="275">
        <v>4027.86</v>
      </c>
      <c r="J9" s="2">
        <v>9091.5340839715791</v>
      </c>
      <c r="K9" s="2">
        <f t="shared" si="2"/>
        <v>7319.1970285714287</v>
      </c>
      <c r="L9" s="184">
        <f t="shared" si="3"/>
        <v>8020.9050000000007</v>
      </c>
    </row>
    <row r="10" spans="1:13">
      <c r="A10">
        <v>219</v>
      </c>
      <c r="B10">
        <v>17</v>
      </c>
      <c r="C10" t="s">
        <v>29</v>
      </c>
      <c r="D10" s="277">
        <v>3762</v>
      </c>
      <c r="E10" s="277">
        <v>2633.4</v>
      </c>
      <c r="F10" s="277">
        <f>L10*5.8/100+L10+10000</f>
        <v>14179.2058</v>
      </c>
      <c r="G10" s="277">
        <v>1881</v>
      </c>
      <c r="H10" s="277">
        <f t="shared" si="1"/>
        <v>14330.92330206</v>
      </c>
      <c r="I10" s="275">
        <v>1881</v>
      </c>
      <c r="J10" s="2">
        <v>15190.7787001836</v>
      </c>
      <c r="K10" s="2">
        <f t="shared" si="2"/>
        <v>3418.0457142857144</v>
      </c>
      <c r="L10" s="184">
        <f t="shared" si="3"/>
        <v>3950.1000000000004</v>
      </c>
    </row>
    <row r="11" spans="1:13">
      <c r="A11">
        <v>219</v>
      </c>
      <c r="B11">
        <v>18</v>
      </c>
      <c r="C11" t="s">
        <v>31</v>
      </c>
      <c r="D11" s="277">
        <v>38878.28</v>
      </c>
      <c r="E11" s="277">
        <v>19439.14</v>
      </c>
      <c r="F11" s="277">
        <f t="shared" si="0"/>
        <v>30849.91518</v>
      </c>
      <c r="G11" s="277">
        <v>20421.66</v>
      </c>
      <c r="H11" s="277">
        <f t="shared" si="1"/>
        <v>31180.009272425999</v>
      </c>
      <c r="I11" s="275">
        <v>20421.66</v>
      </c>
      <c r="J11" s="2">
        <v>33050.809828771562</v>
      </c>
      <c r="K11" s="2">
        <f t="shared" si="2"/>
        <v>37109.073599999996</v>
      </c>
      <c r="L11" s="184">
        <f t="shared" si="3"/>
        <v>29158.71</v>
      </c>
    </row>
    <row r="12" spans="1:13">
      <c r="A12">
        <v>219</v>
      </c>
      <c r="B12">
        <v>102</v>
      </c>
      <c r="C12" t="s">
        <v>33</v>
      </c>
      <c r="D12" s="277">
        <v>9528.1200000000008</v>
      </c>
      <c r="E12" s="277">
        <v>6535.2</v>
      </c>
      <c r="F12" s="277">
        <f t="shared" si="0"/>
        <v>10371.3624</v>
      </c>
      <c r="G12" s="277">
        <v>5161.8599999999997</v>
      </c>
      <c r="H12" s="277">
        <f t="shared" si="1"/>
        <v>10482.335977680001</v>
      </c>
      <c r="I12" s="275">
        <v>5161.8599999999997</v>
      </c>
      <c r="J12" s="2">
        <v>11111.276136340801</v>
      </c>
      <c r="K12" s="2">
        <f t="shared" si="2"/>
        <v>9379.8370285714282</v>
      </c>
      <c r="L12" s="184">
        <f t="shared" si="3"/>
        <v>9802.7999999999993</v>
      </c>
    </row>
    <row r="13" spans="1:13">
      <c r="A13">
        <v>219</v>
      </c>
      <c r="B13">
        <v>104</v>
      </c>
      <c r="C13" t="s">
        <v>34</v>
      </c>
      <c r="D13" s="277">
        <v>406.8</v>
      </c>
      <c r="E13" s="277">
        <v>284.76</v>
      </c>
      <c r="F13" s="277">
        <f t="shared" si="0"/>
        <v>451.91411999999997</v>
      </c>
      <c r="G13" s="277">
        <v>217.5</v>
      </c>
      <c r="H13" s="277">
        <f t="shared" si="1"/>
        <v>456.74960108399995</v>
      </c>
      <c r="I13" s="275">
        <v>217.5</v>
      </c>
      <c r="J13" s="2">
        <v>484.15457714903994</v>
      </c>
      <c r="K13" s="2">
        <f t="shared" si="2"/>
        <v>395.22857142857146</v>
      </c>
      <c r="L13" s="184">
        <f t="shared" si="3"/>
        <v>427.14</v>
      </c>
    </row>
    <row r="14" spans="1:13" ht="15.75" thickBot="1">
      <c r="D14" s="278">
        <f t="shared" ref="D14:I14" si="4">SUM(D3:D13)</f>
        <v>1254264.5200000003</v>
      </c>
      <c r="E14" s="278">
        <f t="shared" si="4"/>
        <v>843134.18</v>
      </c>
      <c r="F14" s="278">
        <f t="shared" si="4"/>
        <v>1348053.9436600006</v>
      </c>
      <c r="G14" s="278">
        <f t="shared" si="4"/>
        <v>660951.57999999996</v>
      </c>
      <c r="H14" s="278">
        <f t="shared" si="4"/>
        <v>1394931.6242962349</v>
      </c>
      <c r="I14" s="276">
        <f t="shared" si="4"/>
        <v>660951.57999999996</v>
      </c>
      <c r="J14" s="3">
        <v>1478627.5217540092</v>
      </c>
      <c r="K14" s="2"/>
    </row>
    <row r="15" spans="1:13" ht="15.75" thickTop="1">
      <c r="D15" s="277"/>
      <c r="E15" s="277"/>
      <c r="F15" s="159"/>
      <c r="G15" s="159"/>
      <c r="H15" s="159"/>
      <c r="I15" s="243"/>
      <c r="K15" s="2"/>
    </row>
    <row r="16" spans="1:13">
      <c r="D16" s="277"/>
      <c r="E16" s="277"/>
      <c r="F16" s="159"/>
      <c r="G16" s="159"/>
      <c r="H16" s="159"/>
      <c r="I16" s="243"/>
      <c r="K16" s="2"/>
    </row>
    <row r="17" spans="1:12">
      <c r="A17">
        <v>220</v>
      </c>
      <c r="B17">
        <v>1</v>
      </c>
      <c r="C17" t="s">
        <v>16</v>
      </c>
      <c r="D17" s="277">
        <v>1801442.48</v>
      </c>
      <c r="E17" s="277">
        <v>1235799.3799999999</v>
      </c>
      <c r="F17" s="277">
        <f>L17*5.8/100+L17</f>
        <v>1961213.6160599999</v>
      </c>
      <c r="G17" s="277">
        <v>838580.58</v>
      </c>
      <c r="H17" s="277">
        <f>F17*1.07/100+F17</f>
        <v>1982198.6017518418</v>
      </c>
      <c r="I17" s="275">
        <v>838580.58</v>
      </c>
      <c r="J17" s="2">
        <v>2101130.5178569523</v>
      </c>
      <c r="K17" s="2">
        <f t="shared" si="2"/>
        <v>1523820.7110857142</v>
      </c>
      <c r="L17" s="184">
        <f>E17/8*12</f>
        <v>1853699.0699999998</v>
      </c>
    </row>
    <row r="18" spans="1:12">
      <c r="A18">
        <v>220</v>
      </c>
      <c r="B18">
        <v>3</v>
      </c>
      <c r="C18" t="s">
        <v>56</v>
      </c>
      <c r="D18" s="277">
        <v>54220</v>
      </c>
      <c r="E18" s="277">
        <v>41200</v>
      </c>
      <c r="F18" s="277">
        <f t="shared" ref="F18:F27" si="5">L18*5.8/100+L18</f>
        <v>65384.4</v>
      </c>
      <c r="G18" s="277">
        <v>29190</v>
      </c>
      <c r="H18" s="277">
        <f t="shared" ref="H18:H27" si="6">F18*1.07/100+F18</f>
        <v>66084.013080000004</v>
      </c>
      <c r="I18" s="275">
        <v>29190</v>
      </c>
      <c r="J18" s="2">
        <v>70049.053864800007</v>
      </c>
      <c r="K18" s="2">
        <f t="shared" si="2"/>
        <v>53042.400000000001</v>
      </c>
      <c r="L18" s="184">
        <f t="shared" ref="L18:L27" si="7">E18/8*12</f>
        <v>61800</v>
      </c>
    </row>
    <row r="19" spans="1:12">
      <c r="A19">
        <v>220</v>
      </c>
      <c r="B19">
        <v>4</v>
      </c>
      <c r="C19" t="s">
        <v>58</v>
      </c>
      <c r="D19" s="277">
        <v>6987.6</v>
      </c>
      <c r="E19" s="277">
        <v>5000.92</v>
      </c>
      <c r="F19" s="277">
        <f t="shared" si="5"/>
        <v>7936.4600399999999</v>
      </c>
      <c r="G19" s="277">
        <v>3993.88</v>
      </c>
      <c r="H19" s="277">
        <f t="shared" si="6"/>
        <v>8021.3801624280004</v>
      </c>
      <c r="I19" s="275">
        <v>3993.88</v>
      </c>
      <c r="J19" s="2">
        <v>8502.6629721736808</v>
      </c>
      <c r="K19" s="2">
        <f t="shared" si="2"/>
        <v>7257.4505142857142</v>
      </c>
      <c r="L19" s="184">
        <f t="shared" si="7"/>
        <v>7501.38</v>
      </c>
    </row>
    <row r="20" spans="1:12">
      <c r="A20">
        <v>220</v>
      </c>
      <c r="B20">
        <v>6</v>
      </c>
      <c r="C20" t="s">
        <v>19</v>
      </c>
      <c r="D20" s="277">
        <v>660628.06000000006</v>
      </c>
      <c r="E20" s="277">
        <v>377890.56</v>
      </c>
      <c r="F20" s="277">
        <f t="shared" si="5"/>
        <v>599712.31871999998</v>
      </c>
      <c r="G20" s="277">
        <v>315999.44</v>
      </c>
      <c r="H20" s="277">
        <f t="shared" si="6"/>
        <v>606129.24053030403</v>
      </c>
      <c r="I20" s="275">
        <v>353070.64</v>
      </c>
      <c r="J20" s="2">
        <v>642496.99496212229</v>
      </c>
      <c r="K20" s="2">
        <f t="shared" si="2"/>
        <v>641579.79154285719</v>
      </c>
      <c r="L20" s="184">
        <f t="shared" si="7"/>
        <v>566835.84</v>
      </c>
    </row>
    <row r="21" spans="1:12">
      <c r="A21">
        <v>220</v>
      </c>
      <c r="B21">
        <v>10</v>
      </c>
      <c r="C21" t="s">
        <v>22</v>
      </c>
      <c r="D21" s="277">
        <v>311651.3</v>
      </c>
      <c r="E21" s="277">
        <v>214511.3</v>
      </c>
      <c r="F21" s="277">
        <f t="shared" si="5"/>
        <v>340429.43309999997</v>
      </c>
      <c r="G21" s="277">
        <v>146728.32999999999</v>
      </c>
      <c r="H21" s="277">
        <f t="shared" si="6"/>
        <v>344072.02803416998</v>
      </c>
      <c r="I21" s="275">
        <v>146728.32999999999</v>
      </c>
      <c r="J21" s="2">
        <v>364716.34971622017</v>
      </c>
      <c r="K21" s="2">
        <f t="shared" si="2"/>
        <v>266626.33679999999</v>
      </c>
      <c r="L21" s="184">
        <f t="shared" si="7"/>
        <v>321766.94999999995</v>
      </c>
    </row>
    <row r="22" spans="1:12">
      <c r="A22">
        <v>220</v>
      </c>
      <c r="B22">
        <v>14</v>
      </c>
      <c r="C22" t="s">
        <v>25</v>
      </c>
      <c r="D22" s="277">
        <v>347273.5</v>
      </c>
      <c r="E22" s="277">
        <v>238939.75</v>
      </c>
      <c r="F22" s="277">
        <f t="shared" si="5"/>
        <v>379197.38325000001</v>
      </c>
      <c r="G22" s="277">
        <v>165515.29999999999</v>
      </c>
      <c r="H22" s="277">
        <f t="shared" si="6"/>
        <v>383254.795250775</v>
      </c>
      <c r="I22" s="275">
        <v>165515.29999999999</v>
      </c>
      <c r="J22" s="2">
        <v>406250.08296582149</v>
      </c>
      <c r="K22" s="2">
        <f t="shared" si="2"/>
        <v>300764.94514285715</v>
      </c>
      <c r="L22" s="184">
        <f t="shared" si="7"/>
        <v>358409.625</v>
      </c>
    </row>
    <row r="23" spans="1:12">
      <c r="A23">
        <v>220</v>
      </c>
      <c r="B23">
        <v>16</v>
      </c>
      <c r="C23" t="s">
        <v>27</v>
      </c>
      <c r="D23" s="277">
        <v>9630.5</v>
      </c>
      <c r="E23" s="277">
        <v>6599.89</v>
      </c>
      <c r="F23" s="277">
        <f t="shared" si="5"/>
        <v>10474.025430000002</v>
      </c>
      <c r="G23" s="277">
        <v>4889.62</v>
      </c>
      <c r="H23" s="277">
        <f t="shared" si="6"/>
        <v>10586.097502101002</v>
      </c>
      <c r="I23" s="275">
        <v>4889.62</v>
      </c>
      <c r="J23" s="2">
        <v>11221.263352227063</v>
      </c>
      <c r="K23" s="2">
        <f t="shared" si="2"/>
        <v>8885.1380571428563</v>
      </c>
      <c r="L23" s="184">
        <f t="shared" si="7"/>
        <v>9899.8350000000009</v>
      </c>
    </row>
    <row r="24" spans="1:12">
      <c r="A24">
        <v>220</v>
      </c>
      <c r="B24">
        <v>17</v>
      </c>
      <c r="C24" t="s">
        <v>29</v>
      </c>
      <c r="D24" s="277">
        <v>40181.199999999997</v>
      </c>
      <c r="E24" s="277">
        <v>27947.8</v>
      </c>
      <c r="F24" s="277">
        <f t="shared" si="5"/>
        <v>44353.158599999995</v>
      </c>
      <c r="G24" s="277">
        <v>18395.400000000001</v>
      </c>
      <c r="H24" s="277">
        <f t="shared" si="6"/>
        <v>44827.737397019999</v>
      </c>
      <c r="I24" s="275">
        <v>18395.400000000001</v>
      </c>
      <c r="J24" s="2">
        <v>47517.401640841199</v>
      </c>
      <c r="K24" s="2">
        <f t="shared" si="2"/>
        <v>33427.069714285717</v>
      </c>
      <c r="L24" s="184">
        <f t="shared" si="7"/>
        <v>41921.699999999997</v>
      </c>
    </row>
    <row r="25" spans="1:12">
      <c r="A25">
        <v>220</v>
      </c>
      <c r="B25">
        <v>18</v>
      </c>
      <c r="C25" t="s">
        <v>31</v>
      </c>
      <c r="D25" s="277">
        <v>234048.72</v>
      </c>
      <c r="E25" s="277">
        <v>132332.9</v>
      </c>
      <c r="F25" s="277">
        <f t="shared" si="5"/>
        <v>210012.31229999996</v>
      </c>
      <c r="G25" s="277">
        <v>146431.07999999999</v>
      </c>
      <c r="H25" s="277">
        <f t="shared" si="6"/>
        <v>212259.44404160997</v>
      </c>
      <c r="I25" s="275">
        <v>146431.07999999999</v>
      </c>
      <c r="J25" s="2">
        <v>224995.01068410656</v>
      </c>
      <c r="K25" s="2">
        <f t="shared" si="2"/>
        <v>266086.19108571426</v>
      </c>
      <c r="L25" s="184">
        <f t="shared" si="7"/>
        <v>198499.34999999998</v>
      </c>
    </row>
    <row r="26" spans="1:12">
      <c r="A26">
        <v>220</v>
      </c>
      <c r="B26">
        <v>102</v>
      </c>
      <c r="C26" t="s">
        <v>66</v>
      </c>
      <c r="D26" s="277">
        <v>258214.84</v>
      </c>
      <c r="E26" s="277">
        <v>133343.79999999999</v>
      </c>
      <c r="F26" s="277">
        <f>L26*5.8/100+L26</f>
        <v>211616.61059999999</v>
      </c>
      <c r="G26" s="277">
        <v>13522.49</v>
      </c>
      <c r="H26" s="277">
        <f t="shared" si="6"/>
        <v>213880.90833342</v>
      </c>
      <c r="I26" s="275">
        <v>13255.49</v>
      </c>
      <c r="J26" s="2">
        <v>226713.76283342519</v>
      </c>
      <c r="K26" s="2">
        <f t="shared" si="2"/>
        <v>24087.118971428572</v>
      </c>
      <c r="L26" s="184">
        <f t="shared" si="7"/>
        <v>200015.69999999998</v>
      </c>
    </row>
    <row r="27" spans="1:12">
      <c r="A27">
        <v>220</v>
      </c>
      <c r="B27">
        <v>104</v>
      </c>
      <c r="C27" t="s">
        <v>34</v>
      </c>
      <c r="D27" s="277">
        <v>301.13</v>
      </c>
      <c r="E27" s="277">
        <v>295.31</v>
      </c>
      <c r="F27" s="277">
        <f t="shared" si="5"/>
        <v>468.65697000000006</v>
      </c>
      <c r="G27" s="277">
        <v>264.64999999999998</v>
      </c>
      <c r="H27" s="277">
        <f t="shared" si="6"/>
        <v>473.67159957900003</v>
      </c>
      <c r="I27" s="275">
        <v>264.64999999999998</v>
      </c>
      <c r="J27" s="2">
        <v>502.09189555374002</v>
      </c>
      <c r="K27" s="2">
        <f t="shared" si="2"/>
        <v>480.90685714285718</v>
      </c>
      <c r="L27" s="184">
        <f t="shared" si="7"/>
        <v>442.96500000000003</v>
      </c>
    </row>
    <row r="28" spans="1:12">
      <c r="A28">
        <v>220</v>
      </c>
      <c r="B28">
        <v>11</v>
      </c>
      <c r="C28" t="s">
        <v>24</v>
      </c>
      <c r="D28" s="277"/>
      <c r="E28" s="277"/>
      <c r="F28" s="277"/>
      <c r="G28" s="277">
        <v>145492.10999999999</v>
      </c>
      <c r="H28" s="277">
        <v>292000</v>
      </c>
      <c r="I28" s="275"/>
      <c r="J28" s="2">
        <v>309520</v>
      </c>
      <c r="K28" s="2">
        <f t="shared" si="2"/>
        <v>0</v>
      </c>
      <c r="L28" s="184"/>
    </row>
    <row r="29" spans="1:12" ht="15.75" thickBot="1">
      <c r="D29" s="278">
        <f>SUM(D17:D27)</f>
        <v>3724579.33</v>
      </c>
      <c r="E29" s="278">
        <f>SUM(E17:E27)</f>
        <v>2413861.61</v>
      </c>
      <c r="F29" s="278">
        <f>SUM(F17:F27)</f>
        <v>3830798.3750699996</v>
      </c>
      <c r="G29" s="278">
        <f>SUM(G17:G28)</f>
        <v>1829002.88</v>
      </c>
      <c r="H29" s="278">
        <f>SUM(H17:H27)</f>
        <v>3871787.9176832489</v>
      </c>
      <c r="I29" s="276">
        <f>SUM(I17:I27)</f>
        <v>1720314.9700000002</v>
      </c>
      <c r="J29" s="4">
        <v>4104095.1927442434</v>
      </c>
      <c r="K29" s="2"/>
    </row>
    <row r="30" spans="1:12" ht="15.75" thickTop="1">
      <c r="D30" s="277"/>
      <c r="E30" s="277"/>
      <c r="F30" s="159"/>
      <c r="G30" s="159"/>
      <c r="H30" s="159"/>
      <c r="I30" s="243"/>
      <c r="K30" s="2"/>
    </row>
    <row r="31" spans="1:12">
      <c r="A31">
        <v>223</v>
      </c>
      <c r="B31">
        <v>1</v>
      </c>
      <c r="C31" t="s">
        <v>16</v>
      </c>
      <c r="D31" s="277">
        <v>18000</v>
      </c>
      <c r="E31" s="277">
        <v>9000</v>
      </c>
      <c r="F31" s="277">
        <v>0</v>
      </c>
      <c r="G31" s="277">
        <v>0</v>
      </c>
      <c r="H31" s="277">
        <v>0</v>
      </c>
      <c r="I31" s="275">
        <v>0</v>
      </c>
      <c r="J31" s="2">
        <v>0</v>
      </c>
      <c r="K31" s="2"/>
      <c r="L31" s="184">
        <f>E31/8*12</f>
        <v>13500</v>
      </c>
    </row>
    <row r="32" spans="1:12">
      <c r="A32">
        <v>223</v>
      </c>
      <c r="B32">
        <v>16</v>
      </c>
      <c r="C32" t="s">
        <v>89</v>
      </c>
      <c r="D32" s="277">
        <v>180</v>
      </c>
      <c r="E32" s="277">
        <v>90</v>
      </c>
      <c r="F32" s="277">
        <v>0</v>
      </c>
      <c r="G32" s="277">
        <v>0</v>
      </c>
      <c r="H32" s="277">
        <v>0</v>
      </c>
      <c r="I32" s="275">
        <v>0</v>
      </c>
      <c r="J32" s="2">
        <v>0</v>
      </c>
      <c r="K32" s="2"/>
      <c r="L32" s="184">
        <f>E32/8*12</f>
        <v>135</v>
      </c>
    </row>
    <row r="33" spans="1:12">
      <c r="A33">
        <v>223</v>
      </c>
      <c r="B33">
        <v>102</v>
      </c>
      <c r="C33" t="s">
        <v>33</v>
      </c>
      <c r="D33" s="277">
        <v>180</v>
      </c>
      <c r="E33" s="277">
        <v>90</v>
      </c>
      <c r="F33" s="277">
        <v>0</v>
      </c>
      <c r="G33" s="277">
        <v>0</v>
      </c>
      <c r="H33" s="277">
        <v>0</v>
      </c>
      <c r="I33" s="275">
        <v>0</v>
      </c>
      <c r="J33" s="2">
        <v>0</v>
      </c>
      <c r="K33" s="2"/>
      <c r="L33" s="184">
        <f>E33/8*12</f>
        <v>135</v>
      </c>
    </row>
    <row r="34" spans="1:12" ht="15.75" thickBot="1">
      <c r="D34" s="278">
        <f t="shared" ref="D34:I34" si="8">SUM(D31:D33)</f>
        <v>18360</v>
      </c>
      <c r="E34" s="278">
        <f t="shared" si="8"/>
        <v>9180</v>
      </c>
      <c r="F34" s="278">
        <f t="shared" si="8"/>
        <v>0</v>
      </c>
      <c r="G34" s="278">
        <f t="shared" si="8"/>
        <v>0</v>
      </c>
      <c r="H34" s="278">
        <f t="shared" si="8"/>
        <v>0</v>
      </c>
      <c r="I34" s="276">
        <f t="shared" si="8"/>
        <v>0</v>
      </c>
      <c r="J34" s="4">
        <v>0</v>
      </c>
      <c r="K34" s="2"/>
    </row>
    <row r="35" spans="1:12" ht="15.75" thickTop="1">
      <c r="D35" s="277"/>
      <c r="E35" s="277"/>
      <c r="F35" s="159"/>
      <c r="G35" s="159"/>
      <c r="H35" s="159"/>
      <c r="I35" s="243"/>
      <c r="K35" s="2"/>
    </row>
    <row r="36" spans="1:12">
      <c r="A36">
        <v>226</v>
      </c>
      <c r="B36">
        <v>1</v>
      </c>
      <c r="C36" t="s">
        <v>16</v>
      </c>
      <c r="D36" s="277">
        <v>0</v>
      </c>
      <c r="E36" s="277">
        <v>466149.41</v>
      </c>
      <c r="F36" s="277">
        <f>D36*5.8/100+D36</f>
        <v>0</v>
      </c>
      <c r="G36" s="277">
        <v>99031.28</v>
      </c>
      <c r="H36" s="277">
        <v>0</v>
      </c>
      <c r="I36" s="275">
        <v>0</v>
      </c>
      <c r="J36" s="2">
        <v>0</v>
      </c>
      <c r="K36" s="2"/>
    </row>
    <row r="37" spans="1:12">
      <c r="A37">
        <v>226</v>
      </c>
      <c r="B37">
        <v>3</v>
      </c>
      <c r="C37" t="s">
        <v>56</v>
      </c>
      <c r="D37" s="277">
        <v>0</v>
      </c>
      <c r="E37" s="277">
        <v>3155</v>
      </c>
      <c r="F37" s="277">
        <f t="shared" ref="F37:F44" si="9">D37*5.8/100+D37</f>
        <v>0</v>
      </c>
      <c r="G37" s="277">
        <v>0</v>
      </c>
      <c r="H37" s="277">
        <v>0</v>
      </c>
      <c r="I37" s="275">
        <v>0</v>
      </c>
      <c r="J37" s="2">
        <v>0</v>
      </c>
      <c r="K37" s="2"/>
    </row>
    <row r="38" spans="1:12">
      <c r="A38">
        <v>226</v>
      </c>
      <c r="B38">
        <v>4</v>
      </c>
      <c r="C38" t="s">
        <v>58</v>
      </c>
      <c r="D38" s="277">
        <v>0</v>
      </c>
      <c r="E38" s="277">
        <v>1855.46</v>
      </c>
      <c r="F38" s="277">
        <f t="shared" si="9"/>
        <v>0</v>
      </c>
      <c r="G38" s="277">
        <v>0</v>
      </c>
      <c r="H38" s="277">
        <v>0</v>
      </c>
      <c r="I38" s="275">
        <v>0</v>
      </c>
      <c r="J38" s="2">
        <v>0</v>
      </c>
      <c r="K38" s="2"/>
    </row>
    <row r="39" spans="1:12">
      <c r="A39">
        <v>226</v>
      </c>
      <c r="B39">
        <v>6</v>
      </c>
      <c r="C39" t="s">
        <v>19</v>
      </c>
      <c r="D39" s="277">
        <v>0</v>
      </c>
      <c r="E39" s="277">
        <v>50445.599999999999</v>
      </c>
      <c r="F39" s="277">
        <f t="shared" si="9"/>
        <v>0</v>
      </c>
      <c r="G39" s="277">
        <v>7050</v>
      </c>
      <c r="H39" s="277">
        <v>0</v>
      </c>
      <c r="I39" s="275">
        <v>0</v>
      </c>
      <c r="J39" s="2">
        <v>0</v>
      </c>
      <c r="K39" s="2"/>
    </row>
    <row r="40" spans="1:12">
      <c r="A40">
        <v>226</v>
      </c>
      <c r="B40">
        <v>10</v>
      </c>
      <c r="C40" t="s">
        <v>22</v>
      </c>
      <c r="D40" s="277">
        <v>0</v>
      </c>
      <c r="E40" s="277">
        <v>81788.97</v>
      </c>
      <c r="F40" s="277">
        <f t="shared" si="9"/>
        <v>0</v>
      </c>
      <c r="G40" s="277">
        <v>19655.37</v>
      </c>
      <c r="H40" s="277">
        <v>0</v>
      </c>
      <c r="I40" s="275">
        <v>0</v>
      </c>
      <c r="J40" s="2">
        <v>0</v>
      </c>
      <c r="K40" s="2"/>
    </row>
    <row r="41" spans="1:12">
      <c r="A41">
        <v>226</v>
      </c>
      <c r="B41">
        <v>16</v>
      </c>
      <c r="C41" t="s">
        <v>27</v>
      </c>
      <c r="D41" s="277">
        <v>0</v>
      </c>
      <c r="E41" s="277">
        <v>5005.54</v>
      </c>
      <c r="F41" s="277">
        <f t="shared" si="9"/>
        <v>0</v>
      </c>
      <c r="G41" s="277">
        <v>1192.26</v>
      </c>
      <c r="H41" s="277">
        <v>0</v>
      </c>
      <c r="I41" s="275">
        <v>0</v>
      </c>
      <c r="J41" s="2">
        <v>0</v>
      </c>
      <c r="K41" s="2"/>
    </row>
    <row r="42" spans="1:12">
      <c r="A42">
        <v>226</v>
      </c>
      <c r="B42">
        <v>18</v>
      </c>
      <c r="C42" t="s">
        <v>31</v>
      </c>
      <c r="D42" s="277">
        <v>0</v>
      </c>
      <c r="E42" s="277">
        <v>52213.63</v>
      </c>
      <c r="F42" s="277">
        <f t="shared" si="9"/>
        <v>0</v>
      </c>
      <c r="G42" s="277">
        <v>13144.79</v>
      </c>
      <c r="H42" s="277">
        <v>0</v>
      </c>
      <c r="I42" s="275">
        <v>0</v>
      </c>
      <c r="J42" s="2">
        <v>0</v>
      </c>
      <c r="K42" s="2"/>
    </row>
    <row r="43" spans="1:12">
      <c r="A43">
        <v>226</v>
      </c>
      <c r="B43">
        <v>102</v>
      </c>
      <c r="C43" t="s">
        <v>66</v>
      </c>
      <c r="D43" s="277">
        <v>0</v>
      </c>
      <c r="E43" s="277">
        <v>5433.17</v>
      </c>
      <c r="F43" s="277">
        <f t="shared" si="9"/>
        <v>0</v>
      </c>
      <c r="G43" s="277">
        <v>1117.99</v>
      </c>
      <c r="H43" s="277">
        <v>0</v>
      </c>
      <c r="I43" s="275">
        <v>0</v>
      </c>
      <c r="J43" s="2">
        <v>0</v>
      </c>
      <c r="K43" s="2"/>
    </row>
    <row r="44" spans="1:12">
      <c r="A44">
        <v>226</v>
      </c>
      <c r="B44">
        <v>104</v>
      </c>
      <c r="C44" t="s">
        <v>34</v>
      </c>
      <c r="D44" s="277">
        <v>0</v>
      </c>
      <c r="E44" s="277">
        <v>345.78</v>
      </c>
      <c r="F44" s="277">
        <f t="shared" si="9"/>
        <v>0</v>
      </c>
      <c r="G44" s="277">
        <v>108.75</v>
      </c>
      <c r="H44" s="277">
        <v>0</v>
      </c>
      <c r="I44" s="275">
        <v>0</v>
      </c>
      <c r="J44" s="2">
        <v>0</v>
      </c>
      <c r="K44" s="2"/>
    </row>
    <row r="45" spans="1:12" ht="15.75" thickBot="1">
      <c r="D45" s="278">
        <f t="shared" ref="D45:I45" si="10">SUM(D36:D44)</f>
        <v>0</v>
      </c>
      <c r="E45" s="278">
        <f t="shared" si="10"/>
        <v>666392.56000000006</v>
      </c>
      <c r="F45" s="278">
        <f t="shared" si="10"/>
        <v>0</v>
      </c>
      <c r="G45" s="278">
        <f t="shared" si="10"/>
        <v>141300.43999999997</v>
      </c>
      <c r="H45" s="278">
        <f t="shared" si="10"/>
        <v>0</v>
      </c>
      <c r="I45" s="276">
        <f t="shared" si="10"/>
        <v>0</v>
      </c>
      <c r="J45" s="4">
        <v>0</v>
      </c>
      <c r="K45" s="2"/>
    </row>
    <row r="46" spans="1:12" ht="15.75" thickTop="1">
      <c r="D46" s="277"/>
      <c r="E46" s="277"/>
      <c r="F46" s="159"/>
      <c r="G46" s="159"/>
      <c r="H46" s="159"/>
      <c r="I46" s="243"/>
      <c r="K46" s="2"/>
    </row>
    <row r="47" spans="1:12">
      <c r="A47">
        <v>227</v>
      </c>
      <c r="B47">
        <v>1</v>
      </c>
      <c r="C47" t="s">
        <v>109</v>
      </c>
      <c r="D47" s="277">
        <v>233545.56</v>
      </c>
      <c r="E47" s="277">
        <v>193358.6</v>
      </c>
      <c r="F47" s="277">
        <f>L47*5.8/100+L47</f>
        <v>306860.09820000001</v>
      </c>
      <c r="G47" s="277">
        <v>168640.31</v>
      </c>
      <c r="H47" s="277">
        <f>F47*1.07/100+F47</f>
        <v>310143.50125074002</v>
      </c>
      <c r="I47" s="275">
        <v>168640.31</v>
      </c>
      <c r="J47" s="2">
        <v>328752.11132578441</v>
      </c>
      <c r="K47" s="2">
        <f t="shared" si="2"/>
        <v>306443.53474285715</v>
      </c>
      <c r="L47" s="184">
        <f>E47/8*12</f>
        <v>290037.90000000002</v>
      </c>
    </row>
    <row r="48" spans="1:12" s="35" customFormat="1">
      <c r="A48" s="35">
        <v>227</v>
      </c>
      <c r="B48" s="35">
        <v>6</v>
      </c>
      <c r="C48" s="35" t="s">
        <v>110</v>
      </c>
      <c r="D48" s="277">
        <v>19119.599999999999</v>
      </c>
      <c r="E48" s="277">
        <v>16240.2</v>
      </c>
      <c r="F48" s="277">
        <f t="shared" ref="F48:F56" si="11">L48*5.8/100+L48</f>
        <v>25773.197400000005</v>
      </c>
      <c r="G48" s="277">
        <v>17469</v>
      </c>
      <c r="H48" s="277">
        <v>34938</v>
      </c>
      <c r="I48" s="275">
        <v>17469</v>
      </c>
      <c r="J48" s="2">
        <v>37034.28</v>
      </c>
      <c r="K48" s="2">
        <f t="shared" si="2"/>
        <v>31743.66857142857</v>
      </c>
      <c r="L48" s="271">
        <f t="shared" ref="L48:L56" si="12">E48/8*12</f>
        <v>24360.300000000003</v>
      </c>
    </row>
    <row r="49" spans="1:12">
      <c r="A49">
        <v>227</v>
      </c>
      <c r="B49">
        <v>8</v>
      </c>
      <c r="C49" t="s">
        <v>21</v>
      </c>
      <c r="D49" s="277">
        <v>4545.1000000000004</v>
      </c>
      <c r="E49" s="277">
        <v>2272.5500000000002</v>
      </c>
      <c r="F49" s="277">
        <f t="shared" si="11"/>
        <v>3606.5368500000004</v>
      </c>
      <c r="G49" s="277">
        <v>0</v>
      </c>
      <c r="H49" s="277">
        <f t="shared" ref="H49:H56" si="13">F49*1.07/100+F49</f>
        <v>3645.1267942950003</v>
      </c>
      <c r="I49" s="275">
        <v>0</v>
      </c>
      <c r="J49" s="2">
        <v>3863.8344019527003</v>
      </c>
      <c r="K49" s="2">
        <f t="shared" si="2"/>
        <v>0</v>
      </c>
      <c r="L49" s="184">
        <f t="shared" si="12"/>
        <v>3408.8250000000003</v>
      </c>
    </row>
    <row r="50" spans="1:12">
      <c r="A50">
        <v>227</v>
      </c>
      <c r="B50">
        <v>10</v>
      </c>
      <c r="C50" t="s">
        <v>111</v>
      </c>
      <c r="D50" s="277">
        <v>49277.279999999999</v>
      </c>
      <c r="E50" s="277">
        <v>41064.400000000001</v>
      </c>
      <c r="F50" s="277">
        <f t="shared" si="11"/>
        <v>65169.202800000006</v>
      </c>
      <c r="G50" s="277">
        <v>44859.24</v>
      </c>
      <c r="H50" s="277">
        <f t="shared" si="13"/>
        <v>65866.513269960007</v>
      </c>
      <c r="I50" s="275">
        <v>44859.24</v>
      </c>
      <c r="J50" s="2">
        <v>69818.504066157606</v>
      </c>
      <c r="K50" s="2">
        <f t="shared" si="2"/>
        <v>81515.647542857143</v>
      </c>
      <c r="L50" s="184">
        <f>E50/8*12</f>
        <v>61596.600000000006</v>
      </c>
    </row>
    <row r="51" spans="1:12" s="35" customFormat="1">
      <c r="A51" s="35">
        <v>227</v>
      </c>
      <c r="B51" s="35">
        <v>14</v>
      </c>
      <c r="C51" s="35" t="s">
        <v>112</v>
      </c>
      <c r="D51" s="277">
        <v>64821</v>
      </c>
      <c r="E51" s="277">
        <v>54017.5</v>
      </c>
      <c r="F51" s="277">
        <f t="shared" si="11"/>
        <v>85725.772500000006</v>
      </c>
      <c r="G51" s="277">
        <v>54017.5</v>
      </c>
      <c r="H51" s="277">
        <v>108035</v>
      </c>
      <c r="I51" s="275">
        <v>54017.5</v>
      </c>
      <c r="J51" s="2">
        <v>114517.1</v>
      </c>
      <c r="K51" s="2">
        <f t="shared" si="2"/>
        <v>98157.514285714293</v>
      </c>
      <c r="L51" s="271">
        <f t="shared" si="12"/>
        <v>81026.25</v>
      </c>
    </row>
    <row r="52" spans="1:12">
      <c r="A52">
        <v>227</v>
      </c>
      <c r="B52">
        <v>16</v>
      </c>
      <c r="C52" t="s">
        <v>89</v>
      </c>
      <c r="D52" s="277">
        <v>1784.64</v>
      </c>
      <c r="E52" s="277">
        <v>1487.2</v>
      </c>
      <c r="F52" s="277">
        <f t="shared" si="11"/>
        <v>2360.1864</v>
      </c>
      <c r="G52" s="277">
        <v>1487.2</v>
      </c>
      <c r="H52" s="277">
        <f t="shared" si="13"/>
        <v>2385.4403944800001</v>
      </c>
      <c r="I52" s="275">
        <v>1487.2</v>
      </c>
      <c r="J52" s="2">
        <v>2528.5668181487999</v>
      </c>
      <c r="K52" s="2">
        <f t="shared" si="2"/>
        <v>2702.4548571428577</v>
      </c>
      <c r="L52" s="184">
        <f t="shared" si="12"/>
        <v>2230.8000000000002</v>
      </c>
    </row>
    <row r="53" spans="1:12">
      <c r="A53">
        <v>227</v>
      </c>
      <c r="B53">
        <v>17</v>
      </c>
      <c r="C53" t="s">
        <v>113</v>
      </c>
      <c r="D53" s="277">
        <v>2257.1999999999998</v>
      </c>
      <c r="E53" s="277">
        <v>1881</v>
      </c>
      <c r="F53" s="277">
        <f>L53*5.8/100+L53+10000</f>
        <v>12985.147000000001</v>
      </c>
      <c r="G53" s="277">
        <v>1881</v>
      </c>
      <c r="H53" s="277">
        <f t="shared" si="13"/>
        <v>13124.0880729</v>
      </c>
      <c r="I53" s="275">
        <v>1881</v>
      </c>
      <c r="J53" s="2">
        <v>13911.533357274</v>
      </c>
      <c r="K53" s="2">
        <f t="shared" si="2"/>
        <v>3418.0457142857144</v>
      </c>
      <c r="L53" s="184">
        <f t="shared" si="12"/>
        <v>2821.5</v>
      </c>
    </row>
    <row r="54" spans="1:12">
      <c r="A54">
        <v>227</v>
      </c>
      <c r="B54">
        <v>18</v>
      </c>
      <c r="C54" t="s">
        <v>114</v>
      </c>
      <c r="D54" s="277">
        <v>77248.52</v>
      </c>
      <c r="E54" s="277">
        <v>38624.26</v>
      </c>
      <c r="F54" s="277">
        <f t="shared" si="11"/>
        <v>61296.700619999996</v>
      </c>
      <c r="G54" s="277">
        <v>17212.27</v>
      </c>
      <c r="H54" s="277">
        <f t="shared" si="13"/>
        <v>61952.575316633993</v>
      </c>
      <c r="I54" s="275">
        <v>17212.27</v>
      </c>
      <c r="J54" s="2">
        <v>65669.729835632039</v>
      </c>
      <c r="K54" s="2">
        <f t="shared" si="2"/>
        <v>31277.153485714287</v>
      </c>
      <c r="L54" s="184">
        <f t="shared" si="12"/>
        <v>57936.39</v>
      </c>
    </row>
    <row r="55" spans="1:12">
      <c r="A55">
        <v>227</v>
      </c>
      <c r="B55">
        <v>102</v>
      </c>
      <c r="C55" t="s">
        <v>33</v>
      </c>
      <c r="D55" s="277">
        <v>3693.92</v>
      </c>
      <c r="E55" s="277">
        <v>2808.69</v>
      </c>
      <c r="F55" s="277">
        <f t="shared" si="11"/>
        <v>4457.3910299999998</v>
      </c>
      <c r="G55" s="277">
        <v>2747.67</v>
      </c>
      <c r="H55" s="277">
        <f t="shared" si="13"/>
        <v>4505.0851140209998</v>
      </c>
      <c r="I55" s="275">
        <v>2747.67</v>
      </c>
      <c r="J55" s="2">
        <v>4775.3902208622594</v>
      </c>
      <c r="K55" s="2">
        <f t="shared" si="2"/>
        <v>4992.9089142857147</v>
      </c>
      <c r="L55" s="184">
        <f t="shared" si="12"/>
        <v>4213.0349999999999</v>
      </c>
    </row>
    <row r="56" spans="1:12">
      <c r="A56">
        <v>227</v>
      </c>
      <c r="B56">
        <v>104</v>
      </c>
      <c r="C56" t="s">
        <v>115</v>
      </c>
      <c r="D56" s="277">
        <v>81.36</v>
      </c>
      <c r="E56" s="277">
        <v>67.8</v>
      </c>
      <c r="F56" s="277">
        <f t="shared" si="11"/>
        <v>107.59859999999999</v>
      </c>
      <c r="G56" s="277">
        <v>72.5</v>
      </c>
      <c r="H56" s="277">
        <f t="shared" si="13"/>
        <v>108.74990501999999</v>
      </c>
      <c r="I56" s="275">
        <v>72.5</v>
      </c>
      <c r="J56" s="2">
        <v>115.27489932119998</v>
      </c>
      <c r="K56" s="2">
        <f t="shared" si="2"/>
        <v>131.74285714285716</v>
      </c>
      <c r="L56" s="184">
        <f t="shared" si="12"/>
        <v>101.69999999999999</v>
      </c>
    </row>
    <row r="57" spans="1:12" ht="15.75" thickBot="1">
      <c r="D57" s="278">
        <f t="shared" ref="D57:I57" si="14">SUM(D47:D56)</f>
        <v>456374.18000000005</v>
      </c>
      <c r="E57" s="278">
        <f t="shared" si="14"/>
        <v>351822.2</v>
      </c>
      <c r="F57" s="278">
        <f t="shared" si="14"/>
        <v>568341.83140000014</v>
      </c>
      <c r="G57" s="278">
        <f t="shared" si="14"/>
        <v>308386.69</v>
      </c>
      <c r="H57" s="278">
        <f t="shared" si="14"/>
        <v>604704.08011804998</v>
      </c>
      <c r="I57" s="276">
        <f t="shared" si="14"/>
        <v>308386.69</v>
      </c>
      <c r="J57" s="4">
        <v>640986.32492513291</v>
      </c>
      <c r="K57" s="2"/>
    </row>
    <row r="58" spans="1:12" ht="15.75" thickTop="1">
      <c r="D58" s="277"/>
      <c r="E58" s="277"/>
      <c r="F58" s="159"/>
      <c r="G58" s="159"/>
      <c r="H58" s="159"/>
      <c r="I58" s="243"/>
      <c r="K58" s="2"/>
    </row>
    <row r="59" spans="1:12">
      <c r="A59">
        <v>229</v>
      </c>
      <c r="B59">
        <v>1</v>
      </c>
      <c r="C59" t="s">
        <v>16</v>
      </c>
      <c r="D59" s="277">
        <v>473304.2</v>
      </c>
      <c r="E59" s="277">
        <v>317089.68</v>
      </c>
      <c r="F59" s="277">
        <f>L59*5.8/100+L59</f>
        <v>503221.32216000004</v>
      </c>
      <c r="G59" s="277">
        <v>215170.48</v>
      </c>
      <c r="H59" s="277">
        <f>F59*1.07/100+F59</f>
        <v>508605.79030711204</v>
      </c>
      <c r="I59" s="275">
        <v>215170.48</v>
      </c>
      <c r="J59" s="2">
        <v>539122.13772553881</v>
      </c>
      <c r="K59" s="2">
        <f t="shared" si="2"/>
        <v>390995.5008000001</v>
      </c>
      <c r="L59" s="184">
        <f>E59/8*12</f>
        <v>475634.52</v>
      </c>
    </row>
    <row r="60" spans="1:12">
      <c r="A60">
        <v>229</v>
      </c>
      <c r="B60">
        <v>3</v>
      </c>
      <c r="C60" t="s">
        <v>125</v>
      </c>
      <c r="D60" s="277">
        <v>5220</v>
      </c>
      <c r="E60" s="277">
        <v>2610</v>
      </c>
      <c r="F60" s="277">
        <f>L60*5.8/100+L60+469.47</f>
        <v>4611.54</v>
      </c>
      <c r="G60" s="277">
        <v>0</v>
      </c>
      <c r="H60" s="277">
        <f t="shared" ref="H60:H70" si="15">F60*1.07/100+F60</f>
        <v>4660.8834779999997</v>
      </c>
      <c r="I60" s="275">
        <v>0</v>
      </c>
      <c r="J60" s="2">
        <v>4940.5364866800001</v>
      </c>
      <c r="K60" s="2">
        <f t="shared" si="2"/>
        <v>0</v>
      </c>
      <c r="L60" s="184">
        <f t="shared" ref="L60:L69" si="16">E60/8*12</f>
        <v>3915</v>
      </c>
    </row>
    <row r="61" spans="1:12">
      <c r="A61">
        <v>229</v>
      </c>
      <c r="B61">
        <v>4</v>
      </c>
      <c r="C61" t="s">
        <v>58</v>
      </c>
      <c r="D61" s="277">
        <v>6531.1</v>
      </c>
      <c r="E61" s="277">
        <v>4637.08</v>
      </c>
      <c r="F61" s="277">
        <f t="shared" ref="F61:F70" si="17">L61*5.8/100+L61</f>
        <v>7359.0459599999995</v>
      </c>
      <c r="G61" s="277">
        <v>3592.1</v>
      </c>
      <c r="H61" s="277">
        <f t="shared" si="15"/>
        <v>7437.7877517719999</v>
      </c>
      <c r="I61" s="275">
        <v>3592.1</v>
      </c>
      <c r="J61" s="2">
        <v>7884.0550168783202</v>
      </c>
      <c r="K61" s="2">
        <f t="shared" si="2"/>
        <v>6527.3588571428572</v>
      </c>
      <c r="L61" s="184">
        <f t="shared" si="16"/>
        <v>6955.62</v>
      </c>
    </row>
    <row r="62" spans="1:12">
      <c r="A62">
        <v>229</v>
      </c>
      <c r="B62">
        <v>6</v>
      </c>
      <c r="C62" t="s">
        <v>58</v>
      </c>
      <c r="D62" s="277">
        <v>28760.400000000001</v>
      </c>
      <c r="E62" s="277">
        <v>19091.400000000001</v>
      </c>
      <c r="F62" s="277">
        <f t="shared" si="17"/>
        <v>30298.051800000001</v>
      </c>
      <c r="G62" s="277">
        <v>12321</v>
      </c>
      <c r="H62" s="277">
        <f t="shared" si="15"/>
        <v>30622.24095426</v>
      </c>
      <c r="I62" s="275">
        <v>12321</v>
      </c>
      <c r="J62" s="2">
        <v>32459.575411515601</v>
      </c>
      <c r="K62" s="2">
        <f t="shared" si="2"/>
        <v>22389.017142857145</v>
      </c>
      <c r="L62" s="184">
        <f t="shared" si="16"/>
        <v>28637.100000000002</v>
      </c>
    </row>
    <row r="63" spans="1:12">
      <c r="A63">
        <v>229</v>
      </c>
      <c r="B63">
        <v>8</v>
      </c>
      <c r="C63" t="s">
        <v>21</v>
      </c>
      <c r="D63" s="277">
        <v>6691.76</v>
      </c>
      <c r="E63" s="277">
        <v>3345.88</v>
      </c>
      <c r="F63" s="277">
        <f t="shared" si="17"/>
        <v>5309.9115599999996</v>
      </c>
      <c r="G63" s="277">
        <v>0</v>
      </c>
      <c r="H63" s="277">
        <f t="shared" si="15"/>
        <v>5366.727613692</v>
      </c>
      <c r="I63" s="275">
        <v>0</v>
      </c>
      <c r="J63" s="2">
        <v>5688.73127051352</v>
      </c>
      <c r="K63" s="2">
        <f t="shared" si="2"/>
        <v>0</v>
      </c>
      <c r="L63" s="184">
        <f t="shared" si="16"/>
        <v>5018.82</v>
      </c>
    </row>
    <row r="64" spans="1:12">
      <c r="A64">
        <v>229</v>
      </c>
      <c r="B64">
        <v>10</v>
      </c>
      <c r="C64" t="s">
        <v>22</v>
      </c>
      <c r="D64" s="277">
        <v>93082.74</v>
      </c>
      <c r="E64" s="277">
        <v>62372.39</v>
      </c>
      <c r="F64" s="277">
        <f t="shared" si="17"/>
        <v>98984.982929999998</v>
      </c>
      <c r="G64" s="277">
        <v>42347.94</v>
      </c>
      <c r="H64" s="277">
        <f t="shared" si="15"/>
        <v>100044.122247351</v>
      </c>
      <c r="I64" s="275">
        <v>42347.94</v>
      </c>
      <c r="J64" s="2">
        <v>106046.76958219206</v>
      </c>
      <c r="K64" s="2">
        <f t="shared" si="2"/>
        <v>76952.256685714296</v>
      </c>
      <c r="L64" s="184">
        <f t="shared" si="16"/>
        <v>93558.584999999992</v>
      </c>
    </row>
    <row r="65" spans="1:12">
      <c r="A65">
        <v>229</v>
      </c>
      <c r="B65">
        <v>14</v>
      </c>
      <c r="C65" t="s">
        <v>112</v>
      </c>
      <c r="D65" s="277">
        <v>105161</v>
      </c>
      <c r="E65" s="277">
        <v>74119.5</v>
      </c>
      <c r="F65" s="277">
        <f>L65*5.8/100+L65+150000</f>
        <v>267627.64650000003</v>
      </c>
      <c r="G65" s="277">
        <v>53847.5</v>
      </c>
      <c r="H65" s="277">
        <f t="shared" si="15"/>
        <v>270491.26231755002</v>
      </c>
      <c r="I65" s="275">
        <v>53847.5</v>
      </c>
      <c r="J65" s="2">
        <v>286720.738056603</v>
      </c>
      <c r="K65" s="2">
        <f t="shared" si="2"/>
        <v>97848.6</v>
      </c>
      <c r="L65" s="184">
        <f t="shared" si="16"/>
        <v>111179.25</v>
      </c>
    </row>
    <row r="66" spans="1:12">
      <c r="A66">
        <v>229</v>
      </c>
      <c r="B66">
        <v>16</v>
      </c>
      <c r="C66" t="s">
        <v>89</v>
      </c>
      <c r="D66" s="277">
        <v>3569.28</v>
      </c>
      <c r="E66" s="277">
        <v>2379.52</v>
      </c>
      <c r="F66" s="277">
        <f t="shared" si="17"/>
        <v>3776.2982399999996</v>
      </c>
      <c r="G66" s="277">
        <v>1487.2</v>
      </c>
      <c r="H66" s="277">
        <f t="shared" si="15"/>
        <v>3816.7046311679997</v>
      </c>
      <c r="I66" s="275">
        <v>1487.2</v>
      </c>
      <c r="J66" s="2">
        <v>4045.7069090380796</v>
      </c>
      <c r="K66" s="2">
        <f t="shared" si="2"/>
        <v>2702.4548571428577</v>
      </c>
      <c r="L66" s="184">
        <f t="shared" si="16"/>
        <v>3569.2799999999997</v>
      </c>
    </row>
    <row r="67" spans="1:12">
      <c r="A67">
        <v>229</v>
      </c>
      <c r="B67">
        <v>17</v>
      </c>
      <c r="C67" t="s">
        <v>113</v>
      </c>
      <c r="D67" s="277">
        <v>7524</v>
      </c>
      <c r="E67" s="277">
        <v>5266.8</v>
      </c>
      <c r="F67" s="277">
        <f>L67*5.8/100+L67+13410.46</f>
        <v>21768.871599999999</v>
      </c>
      <c r="G67" s="277">
        <v>3762</v>
      </c>
      <c r="H67" s="277">
        <f t="shared" si="15"/>
        <v>22001.798526119997</v>
      </c>
      <c r="I67" s="275">
        <v>3762</v>
      </c>
      <c r="J67" s="2">
        <v>23321.906437687197</v>
      </c>
      <c r="K67" s="2">
        <f t="shared" si="2"/>
        <v>6836.0914285714289</v>
      </c>
      <c r="L67" s="184">
        <f t="shared" si="16"/>
        <v>7900.2000000000007</v>
      </c>
    </row>
    <row r="68" spans="1:12">
      <c r="A68">
        <v>229</v>
      </c>
      <c r="B68">
        <v>18</v>
      </c>
      <c r="C68" t="s">
        <v>114</v>
      </c>
      <c r="D68" s="277">
        <v>14581.11</v>
      </c>
      <c r="E68" s="277">
        <v>0</v>
      </c>
      <c r="F68" s="277">
        <f t="shared" si="17"/>
        <v>0</v>
      </c>
      <c r="G68" s="277">
        <v>0</v>
      </c>
      <c r="H68" s="277">
        <f t="shared" si="15"/>
        <v>0</v>
      </c>
      <c r="I68" s="275">
        <v>0</v>
      </c>
      <c r="J68" s="2">
        <v>0</v>
      </c>
      <c r="K68" s="2">
        <f t="shared" ref="K68:K131" si="18">I68/7*12*1.06</f>
        <v>0</v>
      </c>
      <c r="L68" s="184">
        <f t="shared" si="16"/>
        <v>0</v>
      </c>
    </row>
    <row r="69" spans="1:12">
      <c r="A69">
        <v>229</v>
      </c>
      <c r="B69">
        <v>102</v>
      </c>
      <c r="C69" t="s">
        <v>33</v>
      </c>
      <c r="D69" s="277">
        <v>5772.12</v>
      </c>
      <c r="E69" s="277">
        <v>3878.3</v>
      </c>
      <c r="F69" s="277">
        <f t="shared" si="17"/>
        <v>6154.8621000000012</v>
      </c>
      <c r="G69" s="277">
        <v>2617.85</v>
      </c>
      <c r="H69" s="277">
        <f t="shared" si="15"/>
        <v>6220.7191244700016</v>
      </c>
      <c r="I69" s="275">
        <v>2617.85</v>
      </c>
      <c r="J69" s="2">
        <v>6593.9622719382014</v>
      </c>
      <c r="K69" s="2">
        <f t="shared" si="18"/>
        <v>4757.007428571429</v>
      </c>
      <c r="L69" s="184">
        <f t="shared" si="16"/>
        <v>5817.4500000000007</v>
      </c>
    </row>
    <row r="70" spans="1:12">
      <c r="A70">
        <v>229</v>
      </c>
      <c r="B70">
        <v>104</v>
      </c>
      <c r="C70" t="s">
        <v>115</v>
      </c>
      <c r="D70" s="277">
        <v>162.72</v>
      </c>
      <c r="E70" s="277">
        <v>108.48</v>
      </c>
      <c r="F70" s="277">
        <f t="shared" si="17"/>
        <v>172.15776</v>
      </c>
      <c r="G70" s="277">
        <v>72.5</v>
      </c>
      <c r="H70" s="277">
        <f t="shared" si="15"/>
        <v>173.99984803199999</v>
      </c>
      <c r="I70" s="275">
        <v>72.5</v>
      </c>
      <c r="J70" s="2">
        <v>184.43983891392</v>
      </c>
      <c r="K70" s="2">
        <f t="shared" si="18"/>
        <v>131.74285714285716</v>
      </c>
      <c r="L70" s="184">
        <f>E70/8*12</f>
        <v>162.72</v>
      </c>
    </row>
    <row r="71" spans="1:12" ht="15.75" thickBot="1">
      <c r="D71" s="278">
        <f t="shared" ref="D71:I71" si="19">SUM(D59:D70)</f>
        <v>750360.43</v>
      </c>
      <c r="E71" s="278">
        <f t="shared" si="19"/>
        <v>494899.03</v>
      </c>
      <c r="F71" s="278">
        <f t="shared" si="19"/>
        <v>949284.69061000017</v>
      </c>
      <c r="G71" s="278">
        <f t="shared" si="19"/>
        <v>335218.57</v>
      </c>
      <c r="H71" s="278">
        <f t="shared" si="19"/>
        <v>959442.03679952724</v>
      </c>
      <c r="I71" s="276">
        <f t="shared" si="19"/>
        <v>335218.57</v>
      </c>
      <c r="J71" s="4">
        <v>1017008.5590074989</v>
      </c>
      <c r="K71" s="2"/>
    </row>
    <row r="72" spans="1:12" ht="15.75" thickTop="1">
      <c r="D72" s="277"/>
      <c r="E72" s="277"/>
      <c r="F72" s="159"/>
      <c r="G72" s="159"/>
      <c r="H72" s="159"/>
      <c r="I72" s="243"/>
      <c r="K72" s="2"/>
    </row>
    <row r="73" spans="1:12">
      <c r="A73">
        <v>230</v>
      </c>
      <c r="B73">
        <v>1</v>
      </c>
      <c r="C73" t="s">
        <v>109</v>
      </c>
      <c r="D73" s="277">
        <v>153085.4</v>
      </c>
      <c r="E73" s="277">
        <v>107159.78</v>
      </c>
      <c r="F73" s="277">
        <f>L73*5.8/100+L73</f>
        <v>170062.57085999998</v>
      </c>
      <c r="G73" s="277">
        <v>86893.51</v>
      </c>
      <c r="H73" s="277">
        <f>F73*1.07/100+F73</f>
        <v>171882.24036820198</v>
      </c>
      <c r="I73" s="275">
        <v>86893.51</v>
      </c>
      <c r="J73" s="2">
        <v>182195.17479029408</v>
      </c>
      <c r="K73" s="2">
        <f t="shared" si="18"/>
        <v>157897.92102857144</v>
      </c>
      <c r="L73" s="184">
        <f>E73/8*12</f>
        <v>160739.66999999998</v>
      </c>
    </row>
    <row r="74" spans="1:12">
      <c r="A74">
        <v>230</v>
      </c>
      <c r="B74">
        <v>8</v>
      </c>
      <c r="C74" t="s">
        <v>21</v>
      </c>
      <c r="D74" s="277">
        <v>4408.42</v>
      </c>
      <c r="E74" s="277">
        <v>2204.21</v>
      </c>
      <c r="F74" s="277">
        <f t="shared" ref="F74:F80" si="20">L74*5.8/100+L74</f>
        <v>3498.0812700000001</v>
      </c>
      <c r="G74" s="277">
        <v>0</v>
      </c>
      <c r="H74" s="277">
        <f t="shared" ref="H74:H80" si="21">F74*1.07/100+F74</f>
        <v>3535.510739589</v>
      </c>
      <c r="I74" s="275">
        <v>0</v>
      </c>
      <c r="J74" s="2">
        <v>3747.6413839643401</v>
      </c>
      <c r="K74" s="2">
        <f t="shared" si="18"/>
        <v>0</v>
      </c>
      <c r="L74" s="184">
        <f t="shared" ref="L74:L80" si="22">E74/8*12</f>
        <v>3306.3150000000001</v>
      </c>
    </row>
    <row r="75" spans="1:12">
      <c r="A75">
        <v>230</v>
      </c>
      <c r="B75">
        <v>10</v>
      </c>
      <c r="C75" t="s">
        <v>111</v>
      </c>
      <c r="D75" s="277">
        <v>27555.4</v>
      </c>
      <c r="E75" s="277">
        <v>19288.78</v>
      </c>
      <c r="F75" s="277">
        <f t="shared" si="20"/>
        <v>30611.293859999998</v>
      </c>
      <c r="G75" s="277">
        <v>15640.84</v>
      </c>
      <c r="H75" s="277">
        <f t="shared" si="21"/>
        <v>30938.834704301997</v>
      </c>
      <c r="I75" s="275">
        <v>15640.84</v>
      </c>
      <c r="J75" s="2">
        <v>32795.164786560119</v>
      </c>
      <c r="K75" s="2">
        <f t="shared" si="18"/>
        <v>28421.640685714283</v>
      </c>
      <c r="L75" s="184">
        <f t="shared" si="22"/>
        <v>28933.17</v>
      </c>
    </row>
    <row r="76" spans="1:12">
      <c r="A76">
        <v>230</v>
      </c>
      <c r="B76">
        <v>16</v>
      </c>
      <c r="C76" t="s">
        <v>89</v>
      </c>
      <c r="D76" s="277">
        <v>1487.2</v>
      </c>
      <c r="E76" s="277">
        <v>1041.04</v>
      </c>
      <c r="F76" s="277">
        <f t="shared" si="20"/>
        <v>1652.13048</v>
      </c>
      <c r="G76" s="277">
        <v>743.6</v>
      </c>
      <c r="H76" s="277">
        <f t="shared" si="21"/>
        <v>1669.8082761360001</v>
      </c>
      <c r="I76" s="275">
        <v>743.6</v>
      </c>
      <c r="J76" s="2">
        <v>1769.9967727041601</v>
      </c>
      <c r="K76" s="2">
        <f t="shared" si="18"/>
        <v>1351.2274285714288</v>
      </c>
      <c r="L76" s="184">
        <f t="shared" si="22"/>
        <v>1561.56</v>
      </c>
    </row>
    <row r="77" spans="1:12">
      <c r="A77">
        <v>230</v>
      </c>
      <c r="B77">
        <v>17</v>
      </c>
      <c r="C77" t="s">
        <v>136</v>
      </c>
      <c r="D77" s="277">
        <v>3762</v>
      </c>
      <c r="E77" s="277">
        <v>2633.4</v>
      </c>
      <c r="F77" s="277">
        <f>L77*5.8/100+L77+10000</f>
        <v>14179.2058</v>
      </c>
      <c r="G77" s="277">
        <v>1881</v>
      </c>
      <c r="H77" s="277">
        <f t="shared" si="21"/>
        <v>14330.92330206</v>
      </c>
      <c r="I77" s="275">
        <v>1881</v>
      </c>
      <c r="J77" s="2">
        <v>15190.7787001836</v>
      </c>
      <c r="K77" s="2">
        <f t="shared" si="18"/>
        <v>3418.0457142857144</v>
      </c>
      <c r="L77" s="184">
        <f t="shared" si="22"/>
        <v>3950.1000000000004</v>
      </c>
    </row>
    <row r="78" spans="1:12">
      <c r="A78">
        <v>230</v>
      </c>
      <c r="B78">
        <v>18</v>
      </c>
      <c r="C78" t="s">
        <v>114</v>
      </c>
      <c r="D78" s="277">
        <v>14581.11</v>
      </c>
      <c r="E78" s="277">
        <v>0</v>
      </c>
      <c r="F78" s="277">
        <f t="shared" si="20"/>
        <v>0</v>
      </c>
      <c r="G78" s="277">
        <v>0</v>
      </c>
      <c r="H78" s="277">
        <f t="shared" si="21"/>
        <v>0</v>
      </c>
      <c r="I78" s="275">
        <v>0</v>
      </c>
      <c r="J78" s="2">
        <v>0</v>
      </c>
      <c r="K78" s="2">
        <f t="shared" si="18"/>
        <v>0</v>
      </c>
      <c r="L78" s="184">
        <f t="shared" si="22"/>
        <v>0</v>
      </c>
    </row>
    <row r="79" spans="1:12">
      <c r="A79">
        <v>230</v>
      </c>
      <c r="B79">
        <v>102</v>
      </c>
      <c r="C79" t="s">
        <v>33</v>
      </c>
      <c r="D79" s="277">
        <v>1497.76</v>
      </c>
      <c r="E79" s="277">
        <v>1039.6099999999999</v>
      </c>
      <c r="F79" s="277">
        <f t="shared" si="20"/>
        <v>1649.8610699999999</v>
      </c>
      <c r="G79" s="277">
        <v>822.58</v>
      </c>
      <c r="H79" s="277">
        <f t="shared" si="21"/>
        <v>1667.5145834489999</v>
      </c>
      <c r="I79" s="275">
        <v>822.58</v>
      </c>
      <c r="J79" s="2">
        <v>1767.56545845594</v>
      </c>
      <c r="K79" s="2">
        <f t="shared" si="18"/>
        <v>1494.7453714285716</v>
      </c>
      <c r="L79" s="184">
        <f t="shared" si="22"/>
        <v>1559.415</v>
      </c>
    </row>
    <row r="80" spans="1:12">
      <c r="A80">
        <v>230</v>
      </c>
      <c r="B80">
        <v>104</v>
      </c>
      <c r="C80" t="s">
        <v>115</v>
      </c>
      <c r="D80" s="277">
        <v>67.8</v>
      </c>
      <c r="E80" s="277">
        <v>47.46</v>
      </c>
      <c r="F80" s="277">
        <f t="shared" si="20"/>
        <v>75.319019999999995</v>
      </c>
      <c r="G80" s="277">
        <v>36.25</v>
      </c>
      <c r="H80" s="277">
        <f t="shared" si="21"/>
        <v>76.124933513999991</v>
      </c>
      <c r="I80" s="275">
        <v>36.25</v>
      </c>
      <c r="J80" s="2">
        <v>80.692429524839994</v>
      </c>
      <c r="K80" s="2">
        <f t="shared" si="18"/>
        <v>65.871428571428581</v>
      </c>
      <c r="L80" s="184">
        <f t="shared" si="22"/>
        <v>71.19</v>
      </c>
    </row>
    <row r="81" spans="1:12" ht="15.75" thickBot="1">
      <c r="D81" s="278">
        <f t="shared" ref="D81:I81" si="23">SUM(D73:D80)</f>
        <v>206445.09000000003</v>
      </c>
      <c r="E81" s="278">
        <f t="shared" si="23"/>
        <v>133414.27999999997</v>
      </c>
      <c r="F81" s="278">
        <f t="shared" si="23"/>
        <v>221728.46235999998</v>
      </c>
      <c r="G81" s="278">
        <f t="shared" si="23"/>
        <v>106017.78</v>
      </c>
      <c r="H81" s="278">
        <f t="shared" si="23"/>
        <v>224100.95690725194</v>
      </c>
      <c r="I81" s="276">
        <f t="shared" si="23"/>
        <v>106017.78</v>
      </c>
      <c r="J81" s="4">
        <v>237547.01432168708</v>
      </c>
      <c r="K81" s="2"/>
    </row>
    <row r="82" spans="1:12" ht="15.75" thickTop="1">
      <c r="D82" s="277"/>
      <c r="E82" s="277"/>
      <c r="F82" s="159"/>
      <c r="G82" s="159"/>
      <c r="H82" s="159"/>
      <c r="I82" s="243"/>
      <c r="K82" s="2"/>
    </row>
    <row r="83" spans="1:12" s="35" customFormat="1">
      <c r="A83" s="35">
        <v>239</v>
      </c>
      <c r="B83" s="35">
        <v>1</v>
      </c>
      <c r="C83" s="35" t="s">
        <v>16</v>
      </c>
      <c r="D83" s="30">
        <v>3769494.56</v>
      </c>
      <c r="E83" s="30">
        <v>2618355.04</v>
      </c>
      <c r="F83" s="30">
        <v>3902234.24</v>
      </c>
      <c r="G83" s="30">
        <v>1567416.67</v>
      </c>
      <c r="H83" s="30">
        <f>F83*1.07/100+F83+60000</f>
        <v>4003988.1463680002</v>
      </c>
      <c r="I83" s="275">
        <v>1664154</v>
      </c>
      <c r="J83" s="30">
        <v>4244227.4351500804</v>
      </c>
      <c r="K83" s="2">
        <f t="shared" si="18"/>
        <v>3024005.5542857144</v>
      </c>
      <c r="L83" s="271">
        <f>E83/8*12</f>
        <v>3927532.56</v>
      </c>
    </row>
    <row r="84" spans="1:12" s="35" customFormat="1">
      <c r="A84" s="35">
        <v>239</v>
      </c>
      <c r="B84" s="35">
        <v>6</v>
      </c>
      <c r="C84" s="35" t="s">
        <v>110</v>
      </c>
      <c r="D84" s="30">
        <v>38176.800000000003</v>
      </c>
      <c r="E84" s="30">
        <v>25891.200000000001</v>
      </c>
      <c r="F84" s="30">
        <f t="shared" ref="F84:F92" si="24">L84*5.8/100+L84</f>
        <v>41089.3344</v>
      </c>
      <c r="G84" s="30">
        <v>18936</v>
      </c>
      <c r="H84" s="30">
        <f t="shared" ref="H84:H92" si="25">F84*1.07/100+F84</f>
        <v>41528.990278079997</v>
      </c>
      <c r="I84" s="275">
        <v>18936</v>
      </c>
      <c r="J84" s="30">
        <v>44020.729694764799</v>
      </c>
      <c r="K84" s="2">
        <f t="shared" si="18"/>
        <v>34409.41714285715</v>
      </c>
      <c r="L84" s="271">
        <f t="shared" ref="L84:L92" si="26">E84/8*12</f>
        <v>38836.800000000003</v>
      </c>
    </row>
    <row r="85" spans="1:12" s="35" customFormat="1">
      <c r="A85" s="35">
        <v>239</v>
      </c>
      <c r="B85" s="35">
        <v>8</v>
      </c>
      <c r="C85" s="35" t="s">
        <v>151</v>
      </c>
      <c r="D85" s="30">
        <v>77421.98</v>
      </c>
      <c r="E85" s="30">
        <v>53264.46</v>
      </c>
      <c r="F85" s="30">
        <f t="shared" si="24"/>
        <v>84530.698019999996</v>
      </c>
      <c r="G85" s="30">
        <v>6877.5</v>
      </c>
      <c r="H85" s="30">
        <f t="shared" si="25"/>
        <v>85435.176488814002</v>
      </c>
      <c r="I85" s="275">
        <v>6877.5</v>
      </c>
      <c r="J85" s="30">
        <v>90561.287078142836</v>
      </c>
      <c r="K85" s="2">
        <f t="shared" si="18"/>
        <v>12497.400000000001</v>
      </c>
      <c r="L85" s="271">
        <f t="shared" si="26"/>
        <v>79896.69</v>
      </c>
    </row>
    <row r="86" spans="1:12" s="35" customFormat="1">
      <c r="A86" s="35">
        <v>239</v>
      </c>
      <c r="B86" s="35">
        <v>10</v>
      </c>
      <c r="C86" s="35" t="s">
        <v>22</v>
      </c>
      <c r="D86" s="30">
        <v>511957.44</v>
      </c>
      <c r="E86" s="30">
        <v>355879.86</v>
      </c>
      <c r="F86" s="30">
        <f t="shared" si="24"/>
        <v>564781.33782000002</v>
      </c>
      <c r="G86" s="30">
        <v>209059.12</v>
      </c>
      <c r="H86" s="30">
        <f t="shared" si="25"/>
        <v>570824.49813467404</v>
      </c>
      <c r="I86" s="275">
        <v>209059.12</v>
      </c>
      <c r="J86" s="30">
        <v>605073.96802275453</v>
      </c>
      <c r="K86" s="2">
        <f t="shared" si="18"/>
        <v>379890.28662857146</v>
      </c>
      <c r="L86" s="271">
        <f t="shared" si="26"/>
        <v>533819.79</v>
      </c>
    </row>
    <row r="87" spans="1:12" s="35" customFormat="1">
      <c r="A87" s="35">
        <v>239</v>
      </c>
      <c r="B87" s="35">
        <v>14</v>
      </c>
      <c r="C87" s="35" t="s">
        <v>25</v>
      </c>
      <c r="D87" s="30">
        <v>923334.6</v>
      </c>
      <c r="E87" s="30">
        <v>646334.22</v>
      </c>
      <c r="F87" s="30">
        <f t="shared" si="24"/>
        <v>1025732.4071399999</v>
      </c>
      <c r="G87" s="30">
        <v>386190.52</v>
      </c>
      <c r="H87" s="30">
        <f t="shared" si="25"/>
        <v>1036707.7438963979</v>
      </c>
      <c r="I87" s="275">
        <v>386190.52</v>
      </c>
      <c r="J87" s="30">
        <v>1098910.2085301818</v>
      </c>
      <c r="K87" s="2">
        <f t="shared" si="18"/>
        <v>701763.3449142857</v>
      </c>
      <c r="L87" s="271">
        <f t="shared" si="26"/>
        <v>969501.33</v>
      </c>
    </row>
    <row r="88" spans="1:12" s="35" customFormat="1">
      <c r="A88" s="35">
        <v>239</v>
      </c>
      <c r="B88" s="35">
        <v>16</v>
      </c>
      <c r="C88" s="35" t="s">
        <v>27</v>
      </c>
      <c r="D88" s="30">
        <v>7965.68</v>
      </c>
      <c r="E88" s="30">
        <v>4371.0200000000004</v>
      </c>
      <c r="F88" s="30">
        <f t="shared" si="24"/>
        <v>6936.8087400000004</v>
      </c>
      <c r="G88" s="30">
        <v>3184.12</v>
      </c>
      <c r="H88" s="30">
        <f t="shared" si="25"/>
        <v>7011.0325935180008</v>
      </c>
      <c r="I88" s="275">
        <v>3184.12</v>
      </c>
      <c r="J88" s="30">
        <v>7431.6945491290808</v>
      </c>
      <c r="K88" s="2">
        <f t="shared" si="18"/>
        <v>5786.0009142857143</v>
      </c>
      <c r="L88" s="271">
        <f t="shared" si="26"/>
        <v>6556.5300000000007</v>
      </c>
    </row>
    <row r="89" spans="1:12" s="35" customFormat="1">
      <c r="A89" s="35">
        <v>239</v>
      </c>
      <c r="B89" s="35">
        <v>17</v>
      </c>
      <c r="C89" s="35" t="s">
        <v>29</v>
      </c>
      <c r="D89" s="30">
        <v>303346.8</v>
      </c>
      <c r="E89" s="30">
        <v>212041.8</v>
      </c>
      <c r="F89" s="30">
        <f t="shared" si="24"/>
        <v>336510.33659999992</v>
      </c>
      <c r="G89" s="30">
        <v>127089</v>
      </c>
      <c r="H89" s="30">
        <f t="shared" si="25"/>
        <v>340110.9972016199</v>
      </c>
      <c r="I89" s="275">
        <v>127089</v>
      </c>
      <c r="J89" s="30">
        <v>360517.65703371709</v>
      </c>
      <c r="K89" s="2">
        <f t="shared" si="18"/>
        <v>230938.86857142858</v>
      </c>
      <c r="L89" s="271">
        <f t="shared" si="26"/>
        <v>318062.69999999995</v>
      </c>
    </row>
    <row r="90" spans="1:12" s="35" customFormat="1">
      <c r="A90" s="35">
        <v>239</v>
      </c>
      <c r="B90" s="35">
        <v>18</v>
      </c>
      <c r="C90" s="35" t="s">
        <v>31</v>
      </c>
      <c r="D90" s="30">
        <v>37259.279999999999</v>
      </c>
      <c r="E90" s="30">
        <v>18629.64</v>
      </c>
      <c r="F90" s="30">
        <f t="shared" si="24"/>
        <v>29565.238679999999</v>
      </c>
      <c r="G90" s="30">
        <v>12978.39</v>
      </c>
      <c r="H90" s="30">
        <f t="shared" si="25"/>
        <v>29881.586733876</v>
      </c>
      <c r="I90" s="275">
        <v>12978.39</v>
      </c>
      <c r="J90" s="30">
        <v>31674.48193790856</v>
      </c>
      <c r="K90" s="2">
        <f t="shared" si="18"/>
        <v>23583.588685714287</v>
      </c>
      <c r="L90" s="271">
        <f t="shared" si="26"/>
        <v>27944.46</v>
      </c>
    </row>
    <row r="91" spans="1:12" s="35" customFormat="1">
      <c r="A91" s="35">
        <v>239</v>
      </c>
      <c r="B91" s="35">
        <v>102</v>
      </c>
      <c r="C91" s="35" t="s">
        <v>66</v>
      </c>
      <c r="D91" s="30">
        <v>47079.76</v>
      </c>
      <c r="E91" s="30">
        <v>32748.04</v>
      </c>
      <c r="F91" s="30">
        <f t="shared" si="24"/>
        <v>51971.139479999998</v>
      </c>
      <c r="G91" s="30">
        <v>19367.97</v>
      </c>
      <c r="H91" s="30">
        <f t="shared" si="25"/>
        <v>52527.230672435995</v>
      </c>
      <c r="I91" s="275">
        <v>19367.97</v>
      </c>
      <c r="J91" s="30">
        <v>55678.864512782151</v>
      </c>
      <c r="K91" s="2">
        <f t="shared" si="18"/>
        <v>35194.368342857146</v>
      </c>
      <c r="L91" s="271">
        <f t="shared" si="26"/>
        <v>49122.06</v>
      </c>
    </row>
    <row r="92" spans="1:12" s="35" customFormat="1">
      <c r="A92" s="35">
        <v>239</v>
      </c>
      <c r="B92" s="35">
        <v>104</v>
      </c>
      <c r="C92" s="35" t="s">
        <v>34</v>
      </c>
      <c r="D92" s="30">
        <v>212.66</v>
      </c>
      <c r="E92" s="30">
        <v>146.15</v>
      </c>
      <c r="F92" s="30">
        <f t="shared" si="24"/>
        <v>231.94005000000001</v>
      </c>
      <c r="G92" s="30">
        <v>97.9</v>
      </c>
      <c r="H92" s="30">
        <f t="shared" si="25"/>
        <v>234.42180853500003</v>
      </c>
      <c r="I92" s="275">
        <v>97.9</v>
      </c>
      <c r="J92" s="30">
        <v>248.48711704710001</v>
      </c>
      <c r="K92" s="2">
        <f t="shared" si="18"/>
        <v>177.89828571428572</v>
      </c>
      <c r="L92" s="271">
        <f t="shared" si="26"/>
        <v>219.22500000000002</v>
      </c>
    </row>
    <row r="93" spans="1:12" s="35" customFormat="1" ht="15.75" thickBot="1">
      <c r="D93" s="279">
        <f t="shared" ref="D93:I93" si="27">SUM(D83:D92)</f>
        <v>5716249.5599999996</v>
      </c>
      <c r="E93" s="279">
        <f t="shared" si="27"/>
        <v>3967661.43</v>
      </c>
      <c r="F93" s="279">
        <f t="shared" si="27"/>
        <v>6043583.4809300015</v>
      </c>
      <c r="G93" s="279">
        <f t="shared" si="27"/>
        <v>2351197.1900000004</v>
      </c>
      <c r="H93" s="279">
        <f t="shared" si="27"/>
        <v>6168249.8241759501</v>
      </c>
      <c r="I93" s="276">
        <f t="shared" si="27"/>
        <v>2447934.5200000005</v>
      </c>
      <c r="J93" s="279">
        <v>6538344.8136265101</v>
      </c>
      <c r="K93" s="2"/>
      <c r="L93" s="272"/>
    </row>
    <row r="94" spans="1:12" ht="15.75" thickTop="1">
      <c r="D94" s="277"/>
      <c r="E94" s="277"/>
      <c r="F94" s="159"/>
      <c r="G94" s="159"/>
      <c r="H94" s="159"/>
      <c r="I94" s="243"/>
      <c r="K94" s="2"/>
    </row>
    <row r="95" spans="1:12">
      <c r="A95">
        <v>244</v>
      </c>
      <c r="B95">
        <v>1</v>
      </c>
      <c r="C95" t="s">
        <v>16</v>
      </c>
      <c r="D95" s="277">
        <v>3606672</v>
      </c>
      <c r="E95" s="277">
        <v>2566156.83</v>
      </c>
      <c r="F95" s="277">
        <f>L95*5.8/100+L95</f>
        <v>4072490.8892100002</v>
      </c>
      <c r="G95" s="277">
        <v>1799837.46</v>
      </c>
      <c r="H95" s="277">
        <f>F95*1.07/100+F95</f>
        <v>4116066.5417245473</v>
      </c>
      <c r="I95" s="275">
        <v>1799837.46</v>
      </c>
      <c r="J95" s="2">
        <v>4363030.5342280203</v>
      </c>
      <c r="K95" s="2">
        <f t="shared" si="18"/>
        <v>3270561.7844571429</v>
      </c>
      <c r="L95" s="184">
        <f>E95/8*12</f>
        <v>3849235.2450000001</v>
      </c>
    </row>
    <row r="96" spans="1:12">
      <c r="A96">
        <v>244</v>
      </c>
      <c r="B96">
        <v>3</v>
      </c>
      <c r="C96" t="s">
        <v>56</v>
      </c>
      <c r="D96" s="277">
        <v>23525.8</v>
      </c>
      <c r="E96" s="277">
        <v>16747.62</v>
      </c>
      <c r="F96" s="277">
        <f>L96*5.8/100+L96+20000</f>
        <v>46578.47294</v>
      </c>
      <c r="G96" s="277">
        <v>13534.72</v>
      </c>
      <c r="H96" s="277">
        <f t="shared" ref="H96:H107" si="28">F96*1.07/100+F96</f>
        <v>47076.862600458</v>
      </c>
      <c r="I96" s="275">
        <v>13534.72</v>
      </c>
      <c r="J96" s="2">
        <v>49901.47435648548</v>
      </c>
      <c r="K96" s="2">
        <f t="shared" si="18"/>
        <v>24594.519771428571</v>
      </c>
      <c r="L96" s="184">
        <f t="shared" ref="L96:L107" si="29">E96/8*12</f>
        <v>25121.43</v>
      </c>
    </row>
    <row r="97" spans="1:12">
      <c r="A97">
        <v>244</v>
      </c>
      <c r="B97">
        <v>4</v>
      </c>
      <c r="C97" t="s">
        <v>58</v>
      </c>
      <c r="D97" s="277">
        <v>1822.1</v>
      </c>
      <c r="E97" s="277">
        <v>911.05</v>
      </c>
      <c r="F97" s="277">
        <f t="shared" ref="F97:F107" si="30">L97*5.8/100+L97</f>
        <v>1445.8363499999998</v>
      </c>
      <c r="G97" s="277">
        <v>0</v>
      </c>
      <c r="H97" s="277">
        <f t="shared" si="28"/>
        <v>1461.3067989449999</v>
      </c>
      <c r="I97" s="275">
        <v>0</v>
      </c>
      <c r="J97" s="2">
        <v>1548.9852068816999</v>
      </c>
      <c r="K97" s="2">
        <f t="shared" si="18"/>
        <v>0</v>
      </c>
      <c r="L97" s="184">
        <f t="shared" si="29"/>
        <v>1366.5749999999998</v>
      </c>
    </row>
    <row r="98" spans="1:12">
      <c r="A98">
        <v>244</v>
      </c>
      <c r="B98">
        <v>6</v>
      </c>
      <c r="C98" t="s">
        <v>19</v>
      </c>
      <c r="D98" s="277">
        <v>210890.7</v>
      </c>
      <c r="E98" s="277">
        <v>148746.75</v>
      </c>
      <c r="F98" s="277">
        <f t="shared" si="30"/>
        <v>236061.09224999999</v>
      </c>
      <c r="G98" s="277">
        <v>105689.4</v>
      </c>
      <c r="H98" s="277">
        <f t="shared" si="28"/>
        <v>238586.94593707498</v>
      </c>
      <c r="I98" s="275">
        <v>105689.4</v>
      </c>
      <c r="J98" s="2">
        <v>252902.16269329947</v>
      </c>
      <c r="K98" s="2">
        <f t="shared" si="18"/>
        <v>192052.73828571427</v>
      </c>
      <c r="L98" s="184">
        <f t="shared" si="29"/>
        <v>223120.125</v>
      </c>
    </row>
    <row r="99" spans="1:12">
      <c r="A99">
        <v>244</v>
      </c>
      <c r="B99">
        <v>8</v>
      </c>
      <c r="C99" t="s">
        <v>173</v>
      </c>
      <c r="D99" s="277">
        <v>5236.4799999999996</v>
      </c>
      <c r="E99" s="277">
        <v>2618.2399999999998</v>
      </c>
      <c r="F99" s="277">
        <f t="shared" si="30"/>
        <v>4155.1468799999993</v>
      </c>
      <c r="G99" s="277">
        <v>13423.4</v>
      </c>
      <c r="H99" s="277">
        <f t="shared" si="28"/>
        <v>4199.6069516159996</v>
      </c>
      <c r="I99" s="275">
        <v>13423.4</v>
      </c>
      <c r="J99" s="2">
        <v>4451.5833687129598</v>
      </c>
      <c r="K99" s="2">
        <f t="shared" si="18"/>
        <v>24392.235428571428</v>
      </c>
      <c r="L99" s="184">
        <f t="shared" si="29"/>
        <v>3927.3599999999997</v>
      </c>
    </row>
    <row r="100" spans="1:12">
      <c r="A100">
        <v>244</v>
      </c>
      <c r="B100">
        <v>10</v>
      </c>
      <c r="C100" t="s">
        <v>22</v>
      </c>
      <c r="D100" s="277">
        <v>608153.84</v>
      </c>
      <c r="E100" s="277">
        <v>428023.86</v>
      </c>
      <c r="F100" s="277">
        <f>L100*5.8/100+L100+320520.56</f>
        <v>999794.42582</v>
      </c>
      <c r="G100" s="277">
        <v>288165.31</v>
      </c>
      <c r="H100" s="277">
        <v>500000</v>
      </c>
      <c r="I100" s="275">
        <v>288165.31</v>
      </c>
      <c r="J100" s="2">
        <v>530000</v>
      </c>
      <c r="K100" s="2">
        <f t="shared" si="18"/>
        <v>523637.53474285715</v>
      </c>
      <c r="L100" s="184">
        <f t="shared" si="29"/>
        <v>642035.79</v>
      </c>
    </row>
    <row r="101" spans="1:12">
      <c r="A101">
        <v>244</v>
      </c>
      <c r="B101">
        <v>11</v>
      </c>
      <c r="C101" t="s">
        <v>24</v>
      </c>
      <c r="D101" s="277">
        <v>8448.2000000000007</v>
      </c>
      <c r="E101" s="277">
        <v>8448.2000000000007</v>
      </c>
      <c r="F101" s="277">
        <f t="shared" si="30"/>
        <v>13407.2934</v>
      </c>
      <c r="G101" s="277">
        <v>26997.25</v>
      </c>
      <c r="H101" s="277">
        <f t="shared" si="28"/>
        <v>13550.751439380001</v>
      </c>
      <c r="I101" s="275">
        <v>26997.25</v>
      </c>
      <c r="J101" s="2">
        <v>14363.7965257428</v>
      </c>
      <c r="K101" s="2">
        <f t="shared" si="18"/>
        <v>49057.86</v>
      </c>
      <c r="L101" s="184">
        <f t="shared" si="29"/>
        <v>12672.300000000001</v>
      </c>
    </row>
    <row r="102" spans="1:12">
      <c r="A102">
        <v>244</v>
      </c>
      <c r="B102">
        <v>14</v>
      </c>
      <c r="C102" t="s">
        <v>25</v>
      </c>
      <c r="D102" s="277">
        <v>277910.15999999997</v>
      </c>
      <c r="E102" s="277">
        <v>195875.08</v>
      </c>
      <c r="F102" s="277">
        <f t="shared" si="30"/>
        <v>310853.75196000002</v>
      </c>
      <c r="G102" s="277">
        <v>141371.98000000001</v>
      </c>
      <c r="H102" s="277">
        <f t="shared" si="28"/>
        <v>314179.88710597204</v>
      </c>
      <c r="I102" s="275">
        <v>141371.98000000001</v>
      </c>
      <c r="J102" s="2">
        <v>333030.68033233035</v>
      </c>
      <c r="K102" s="2">
        <f t="shared" si="18"/>
        <v>256893.08365714288</v>
      </c>
      <c r="L102" s="184">
        <f t="shared" si="29"/>
        <v>293812.62</v>
      </c>
    </row>
    <row r="103" spans="1:12">
      <c r="A103">
        <v>244</v>
      </c>
      <c r="B103">
        <v>16</v>
      </c>
      <c r="C103" t="s">
        <v>27</v>
      </c>
      <c r="D103" s="277">
        <v>28302.44</v>
      </c>
      <c r="E103" s="277">
        <v>20121.740000000002</v>
      </c>
      <c r="F103" s="277">
        <f t="shared" si="30"/>
        <v>31933.201380000002</v>
      </c>
      <c r="G103" s="277">
        <v>14052.42</v>
      </c>
      <c r="H103" s="277">
        <f t="shared" si="28"/>
        <v>32274.886634766</v>
      </c>
      <c r="I103" s="275">
        <v>14052.42</v>
      </c>
      <c r="J103" s="2">
        <v>34211.379832851962</v>
      </c>
      <c r="K103" s="2">
        <f t="shared" si="18"/>
        <v>25535.254628571431</v>
      </c>
      <c r="L103" s="184">
        <f t="shared" si="29"/>
        <v>30182.61</v>
      </c>
    </row>
    <row r="104" spans="1:12">
      <c r="A104">
        <v>244</v>
      </c>
      <c r="B104">
        <v>17</v>
      </c>
      <c r="C104" t="s">
        <v>29</v>
      </c>
      <c r="D104" s="277">
        <v>39772</v>
      </c>
      <c r="E104" s="277">
        <v>0</v>
      </c>
      <c r="F104" s="277">
        <f t="shared" si="30"/>
        <v>0</v>
      </c>
      <c r="G104" s="277">
        <v>14605</v>
      </c>
      <c r="H104" s="277">
        <f t="shared" si="28"/>
        <v>0</v>
      </c>
      <c r="I104" s="275">
        <v>14605</v>
      </c>
      <c r="J104" s="2">
        <v>0</v>
      </c>
      <c r="K104" s="2">
        <f t="shared" si="18"/>
        <v>26539.37142857143</v>
      </c>
      <c r="L104" s="184">
        <f t="shared" si="29"/>
        <v>0</v>
      </c>
    </row>
    <row r="105" spans="1:12">
      <c r="A105">
        <v>244</v>
      </c>
      <c r="B105">
        <v>18</v>
      </c>
      <c r="C105" t="s">
        <v>31</v>
      </c>
      <c r="D105" s="277">
        <v>274277.59999999998</v>
      </c>
      <c r="E105" s="277">
        <v>160101.07</v>
      </c>
      <c r="F105" s="277">
        <f t="shared" si="30"/>
        <v>254080.39809</v>
      </c>
      <c r="G105" s="277">
        <v>144740.38</v>
      </c>
      <c r="H105" s="277">
        <f t="shared" si="28"/>
        <v>256799.05834956301</v>
      </c>
      <c r="I105" s="275">
        <v>144740.38</v>
      </c>
      <c r="J105" s="2">
        <v>272207.00185053679</v>
      </c>
      <c r="K105" s="2">
        <f t="shared" si="18"/>
        <v>263013.94765714294</v>
      </c>
      <c r="L105" s="184">
        <f t="shared" si="29"/>
        <v>240151.60500000001</v>
      </c>
    </row>
    <row r="106" spans="1:12">
      <c r="A106">
        <v>244</v>
      </c>
      <c r="B106">
        <v>102</v>
      </c>
      <c r="C106" t="s">
        <v>66</v>
      </c>
      <c r="D106" s="277">
        <v>42131.360000000001</v>
      </c>
      <c r="E106" s="277">
        <v>29547.56</v>
      </c>
      <c r="F106" s="277">
        <f t="shared" si="30"/>
        <v>46891.977720000003</v>
      </c>
      <c r="G106" s="277">
        <v>20987.54</v>
      </c>
      <c r="H106" s="277">
        <f t="shared" si="28"/>
        <v>47393.721881604004</v>
      </c>
      <c r="I106" s="275">
        <v>20987.54</v>
      </c>
      <c r="J106" s="2">
        <v>50237.345194500245</v>
      </c>
      <c r="K106" s="2">
        <f t="shared" si="18"/>
        <v>38137.358400000005</v>
      </c>
      <c r="L106" s="184">
        <f t="shared" si="29"/>
        <v>44321.340000000004</v>
      </c>
    </row>
    <row r="107" spans="1:12">
      <c r="A107">
        <v>244</v>
      </c>
      <c r="B107">
        <v>104</v>
      </c>
      <c r="C107" t="s">
        <v>34</v>
      </c>
      <c r="D107" s="277">
        <v>1564.36</v>
      </c>
      <c r="E107" s="277">
        <v>1133.02</v>
      </c>
      <c r="F107" s="277">
        <f t="shared" si="30"/>
        <v>1798.10274</v>
      </c>
      <c r="G107" s="277">
        <v>848.3</v>
      </c>
      <c r="H107" s="277">
        <f t="shared" si="28"/>
        <v>1817.3424393180001</v>
      </c>
      <c r="I107" s="275">
        <v>848.3</v>
      </c>
      <c r="J107" s="2">
        <v>1926.3829856770801</v>
      </c>
      <c r="K107" s="2">
        <f t="shared" si="18"/>
        <v>1541.4822857142856</v>
      </c>
      <c r="L107" s="184">
        <f t="shared" si="29"/>
        <v>1699.53</v>
      </c>
    </row>
    <row r="108" spans="1:12" ht="15.75" thickBot="1">
      <c r="D108" s="278">
        <f t="shared" ref="D108:I108" si="31">SUM(D95:D107)</f>
        <v>5128707.040000001</v>
      </c>
      <c r="E108" s="278">
        <f t="shared" si="31"/>
        <v>3578431.0200000005</v>
      </c>
      <c r="F108" s="278">
        <f t="shared" si="31"/>
        <v>6019490.5887400005</v>
      </c>
      <c r="G108" s="278">
        <f t="shared" si="31"/>
        <v>2584253.1599999992</v>
      </c>
      <c r="H108" s="278">
        <f t="shared" si="31"/>
        <v>5573406.9118632441</v>
      </c>
      <c r="I108" s="276">
        <f t="shared" si="31"/>
        <v>2584253.1599999992</v>
      </c>
      <c r="J108" s="4">
        <v>5907811.326575038</v>
      </c>
      <c r="K108" s="2"/>
    </row>
    <row r="109" spans="1:12" ht="15.75" thickTop="1">
      <c r="D109" s="277"/>
      <c r="E109" s="277"/>
      <c r="F109" s="159"/>
      <c r="G109" s="159"/>
      <c r="H109" s="159"/>
      <c r="I109" s="243"/>
      <c r="K109" s="2"/>
    </row>
    <row r="110" spans="1:12">
      <c r="A110">
        <v>245</v>
      </c>
      <c r="B110">
        <v>1</v>
      </c>
      <c r="C110" t="s">
        <v>16</v>
      </c>
      <c r="D110" s="277">
        <v>1089326.46</v>
      </c>
      <c r="E110" s="277">
        <v>703448.97</v>
      </c>
      <c r="F110" s="277">
        <f>L110*5.8/100+L110+2505721.66</f>
        <v>3622095.1753900005</v>
      </c>
      <c r="G110" s="277">
        <v>283337.32</v>
      </c>
      <c r="H110" s="277">
        <v>1660851.59</v>
      </c>
      <c r="I110" s="275">
        <v>283337.32</v>
      </c>
      <c r="J110" s="2">
        <v>1760502.6854000001</v>
      </c>
      <c r="K110" s="2">
        <f t="shared" si="18"/>
        <v>514864.3872</v>
      </c>
      <c r="L110" s="184">
        <f>E110/8*12</f>
        <v>1055173.4550000001</v>
      </c>
    </row>
    <row r="111" spans="1:12">
      <c r="A111">
        <v>245</v>
      </c>
      <c r="B111">
        <v>3</v>
      </c>
      <c r="C111" t="s">
        <v>56</v>
      </c>
      <c r="D111" s="277">
        <v>18000</v>
      </c>
      <c r="E111" s="277">
        <v>11000</v>
      </c>
      <c r="F111" s="277">
        <f t="shared" ref="F111:F120" si="32">L111*5.8/100+L111</f>
        <v>17457</v>
      </c>
      <c r="G111" s="277">
        <v>4000</v>
      </c>
      <c r="H111" s="277">
        <f t="shared" ref="H111:H120" si="33">F111*1.07/100+F111</f>
        <v>17643.7899</v>
      </c>
      <c r="I111" s="275">
        <v>4000</v>
      </c>
      <c r="J111" s="2">
        <v>18702.417293999999</v>
      </c>
      <c r="K111" s="2">
        <f t="shared" si="18"/>
        <v>7268.5714285714284</v>
      </c>
      <c r="L111" s="184">
        <f t="shared" ref="L111:L120" si="34">E111/8*12</f>
        <v>16500</v>
      </c>
    </row>
    <row r="112" spans="1:12">
      <c r="A112">
        <v>245</v>
      </c>
      <c r="B112">
        <v>6</v>
      </c>
      <c r="C112" t="s">
        <v>19</v>
      </c>
      <c r="D112" s="277">
        <v>12546</v>
      </c>
      <c r="E112" s="277">
        <v>8956.7999999999993</v>
      </c>
      <c r="F112" s="277">
        <f t="shared" si="32"/>
        <v>14214.441599999998</v>
      </c>
      <c r="G112" s="277">
        <v>0</v>
      </c>
      <c r="H112" s="277">
        <f t="shared" si="33"/>
        <v>14366.536125119997</v>
      </c>
      <c r="I112" s="275">
        <v>0</v>
      </c>
      <c r="J112" s="2">
        <v>15228.528292627198</v>
      </c>
      <c r="K112" s="2">
        <f t="shared" si="18"/>
        <v>0</v>
      </c>
      <c r="L112" s="184">
        <f t="shared" si="34"/>
        <v>13435.199999999999</v>
      </c>
    </row>
    <row r="113" spans="1:12">
      <c r="A113">
        <v>245</v>
      </c>
      <c r="B113">
        <v>8</v>
      </c>
      <c r="C113" t="s">
        <v>173</v>
      </c>
      <c r="D113" s="277">
        <v>31949.25</v>
      </c>
      <c r="E113" s="277">
        <v>0</v>
      </c>
      <c r="F113" s="277">
        <f t="shared" si="32"/>
        <v>0</v>
      </c>
      <c r="G113" s="277">
        <v>0</v>
      </c>
      <c r="H113" s="277">
        <f t="shared" si="33"/>
        <v>0</v>
      </c>
      <c r="I113" s="275">
        <v>0</v>
      </c>
      <c r="J113" s="2">
        <v>0</v>
      </c>
      <c r="K113" s="2">
        <f t="shared" si="18"/>
        <v>0</v>
      </c>
      <c r="L113" s="184">
        <f t="shared" si="34"/>
        <v>0</v>
      </c>
    </row>
    <row r="114" spans="1:12">
      <c r="A114">
        <v>245</v>
      </c>
      <c r="B114">
        <v>10</v>
      </c>
      <c r="C114" t="s">
        <v>22</v>
      </c>
      <c r="D114" s="277">
        <v>32719.94</v>
      </c>
      <c r="E114" s="277">
        <v>23095.73</v>
      </c>
      <c r="F114" s="277">
        <f t="shared" si="32"/>
        <v>36652.923510000001</v>
      </c>
      <c r="G114" s="277">
        <v>0</v>
      </c>
      <c r="H114" s="277">
        <f t="shared" si="33"/>
        <v>37045.109791556999</v>
      </c>
      <c r="I114" s="275">
        <v>0</v>
      </c>
      <c r="J114" s="2">
        <v>39267.816379050419</v>
      </c>
      <c r="K114" s="2">
        <f t="shared" si="18"/>
        <v>0</v>
      </c>
      <c r="L114" s="184">
        <f t="shared" si="34"/>
        <v>34643.595000000001</v>
      </c>
    </row>
    <row r="115" spans="1:12">
      <c r="A115">
        <v>245</v>
      </c>
      <c r="B115">
        <v>14</v>
      </c>
      <c r="C115" t="s">
        <v>25</v>
      </c>
      <c r="D115" s="277">
        <v>60000</v>
      </c>
      <c r="E115" s="277">
        <v>42000</v>
      </c>
      <c r="F115" s="277">
        <f t="shared" si="32"/>
        <v>66654</v>
      </c>
      <c r="G115" s="277">
        <v>24000</v>
      </c>
      <c r="H115" s="277">
        <f t="shared" si="33"/>
        <v>67367.197799999994</v>
      </c>
      <c r="I115" s="275">
        <v>24000</v>
      </c>
      <c r="J115" s="2">
        <v>71409.229668</v>
      </c>
      <c r="K115" s="2">
        <f t="shared" si="18"/>
        <v>43611.428571428572</v>
      </c>
      <c r="L115" s="184">
        <f t="shared" si="34"/>
        <v>63000</v>
      </c>
    </row>
    <row r="116" spans="1:12">
      <c r="A116">
        <v>245</v>
      </c>
      <c r="B116">
        <v>16</v>
      </c>
      <c r="C116" t="s">
        <v>27</v>
      </c>
      <c r="D116" s="277">
        <v>5941.98</v>
      </c>
      <c r="E116" s="277">
        <v>3565.87</v>
      </c>
      <c r="F116" s="277">
        <f t="shared" si="32"/>
        <v>5659.0356900000006</v>
      </c>
      <c r="G116" s="277">
        <v>774.88</v>
      </c>
      <c r="H116" s="277">
        <f t="shared" si="33"/>
        <v>5719.5873718830007</v>
      </c>
      <c r="I116" s="275">
        <v>774.88</v>
      </c>
      <c r="J116" s="2">
        <v>6062.7626141959809</v>
      </c>
      <c r="K116" s="2">
        <f t="shared" si="18"/>
        <v>1408.0676571428571</v>
      </c>
      <c r="L116" s="184">
        <f t="shared" si="34"/>
        <v>5348.8050000000003</v>
      </c>
    </row>
    <row r="117" spans="1:12">
      <c r="A117">
        <v>245</v>
      </c>
      <c r="B117">
        <v>17</v>
      </c>
      <c r="C117" t="s">
        <v>29</v>
      </c>
      <c r="D117" s="277">
        <v>13762</v>
      </c>
      <c r="E117" s="277">
        <v>9633.4</v>
      </c>
      <c r="F117" s="277">
        <f t="shared" si="32"/>
        <v>15288.205799999998</v>
      </c>
      <c r="G117" s="277">
        <v>4043.86</v>
      </c>
      <c r="H117" s="277">
        <f t="shared" si="33"/>
        <v>15451.789602059998</v>
      </c>
      <c r="I117" s="275">
        <v>4043.86</v>
      </c>
      <c r="J117" s="2">
        <v>16378.896978183599</v>
      </c>
      <c r="K117" s="2">
        <f t="shared" si="18"/>
        <v>7348.2713142857137</v>
      </c>
      <c r="L117" s="184">
        <f t="shared" si="34"/>
        <v>14450.099999999999</v>
      </c>
    </row>
    <row r="118" spans="1:12">
      <c r="A118">
        <v>245</v>
      </c>
      <c r="B118">
        <v>18</v>
      </c>
      <c r="C118" t="s">
        <v>31</v>
      </c>
      <c r="D118" s="277">
        <v>84000</v>
      </c>
      <c r="E118" s="277">
        <v>42000</v>
      </c>
      <c r="F118" s="277">
        <f t="shared" si="32"/>
        <v>66654</v>
      </c>
      <c r="G118" s="277">
        <v>0</v>
      </c>
      <c r="H118" s="277">
        <f t="shared" si="33"/>
        <v>67367.197799999994</v>
      </c>
      <c r="I118" s="275">
        <v>0</v>
      </c>
      <c r="J118" s="2">
        <v>71409.229668</v>
      </c>
      <c r="K118" s="2">
        <f t="shared" si="18"/>
        <v>0</v>
      </c>
      <c r="L118" s="184">
        <f t="shared" si="34"/>
        <v>63000</v>
      </c>
    </row>
    <row r="119" spans="1:12">
      <c r="A119">
        <v>245</v>
      </c>
      <c r="B119">
        <v>102</v>
      </c>
      <c r="C119" t="s">
        <v>33</v>
      </c>
      <c r="D119" s="277">
        <v>12544.8</v>
      </c>
      <c r="E119" s="277">
        <v>8007.66</v>
      </c>
      <c r="F119" s="277">
        <f t="shared" si="32"/>
        <v>12708.156419999999</v>
      </c>
      <c r="G119" s="277">
        <v>3015.38</v>
      </c>
      <c r="H119" s="277">
        <f t="shared" si="33"/>
        <v>12844.133693693999</v>
      </c>
      <c r="I119" s="275">
        <v>3015.38</v>
      </c>
      <c r="J119" s="2">
        <v>13614.781715315639</v>
      </c>
      <c r="K119" s="2">
        <f t="shared" si="18"/>
        <v>5479.3762285714283</v>
      </c>
      <c r="L119" s="184">
        <f t="shared" si="34"/>
        <v>12011.49</v>
      </c>
    </row>
    <row r="120" spans="1:12">
      <c r="A120">
        <v>245</v>
      </c>
      <c r="B120">
        <v>104</v>
      </c>
      <c r="C120" t="s">
        <v>34</v>
      </c>
      <c r="D120" s="277">
        <v>131.30000000000001</v>
      </c>
      <c r="E120" s="277">
        <v>91.91</v>
      </c>
      <c r="F120" s="277">
        <f t="shared" si="32"/>
        <v>145.86117000000002</v>
      </c>
      <c r="G120" s="277">
        <v>25.4</v>
      </c>
      <c r="H120" s="277">
        <f t="shared" si="33"/>
        <v>147.421884519</v>
      </c>
      <c r="I120" s="275">
        <v>25.4</v>
      </c>
      <c r="J120" s="2">
        <v>156.26719759014</v>
      </c>
      <c r="K120" s="2">
        <f t="shared" si="18"/>
        <v>46.155428571428573</v>
      </c>
      <c r="L120" s="184">
        <f t="shared" si="34"/>
        <v>137.86500000000001</v>
      </c>
    </row>
    <row r="121" spans="1:12" ht="15.75" thickBot="1">
      <c r="D121" s="278">
        <f t="shared" ref="D121:I121" si="35">SUM(D110:D120)</f>
        <v>1360921.73</v>
      </c>
      <c r="E121" s="278">
        <f t="shared" si="35"/>
        <v>851800.34000000008</v>
      </c>
      <c r="F121" s="278">
        <f t="shared" si="35"/>
        <v>3857528.7995800003</v>
      </c>
      <c r="G121" s="278">
        <f t="shared" si="35"/>
        <v>319196.84000000003</v>
      </c>
      <c r="H121" s="278">
        <f t="shared" si="35"/>
        <v>1898804.3539688331</v>
      </c>
      <c r="I121" s="276">
        <f t="shared" si="35"/>
        <v>319196.84000000003</v>
      </c>
      <c r="J121" s="4">
        <v>2012732.6152069631</v>
      </c>
      <c r="K121" s="2"/>
    </row>
    <row r="122" spans="1:12" ht="15.75" thickTop="1">
      <c r="D122" s="277"/>
      <c r="E122" s="277"/>
      <c r="F122" s="159"/>
      <c r="G122" s="159"/>
      <c r="H122" s="159"/>
      <c r="I122" s="243"/>
      <c r="K122" s="2"/>
    </row>
    <row r="123" spans="1:12">
      <c r="A123">
        <v>262</v>
      </c>
      <c r="B123">
        <v>1</v>
      </c>
      <c r="C123" t="s">
        <v>16</v>
      </c>
      <c r="D123" s="277">
        <v>4674684.1399999997</v>
      </c>
      <c r="E123" s="277">
        <v>3369539.53</v>
      </c>
      <c r="F123" s="277">
        <f>L123*5.8/100+L123</f>
        <v>5347459.2341099996</v>
      </c>
      <c r="G123" s="277">
        <v>2563239.06</v>
      </c>
      <c r="H123" s="277">
        <f>F123*1.07/100+F123</f>
        <v>5404677.0479149763</v>
      </c>
      <c r="I123" s="275">
        <v>2553239.06</v>
      </c>
      <c r="J123" s="2">
        <v>5728957.6707898751</v>
      </c>
      <c r="K123" s="2">
        <f t="shared" si="18"/>
        <v>4639600.1204571435</v>
      </c>
      <c r="L123" s="184">
        <f>E123/8*12</f>
        <v>5054309.2949999999</v>
      </c>
    </row>
    <row r="124" spans="1:12">
      <c r="A124">
        <v>262</v>
      </c>
      <c r="B124">
        <v>3</v>
      </c>
      <c r="C124" t="s">
        <v>56</v>
      </c>
      <c r="D124" s="277">
        <v>4800</v>
      </c>
      <c r="E124" s="277">
        <v>3360</v>
      </c>
      <c r="F124" s="277">
        <f>L124*5.8/100+L124+10000</f>
        <v>15332.32</v>
      </c>
      <c r="G124" s="277">
        <v>5940</v>
      </c>
      <c r="H124" s="277">
        <f t="shared" ref="H124:H136" si="36">F124*1.07/100+F124</f>
        <v>15496.375823999999</v>
      </c>
      <c r="I124" s="275">
        <v>5940</v>
      </c>
      <c r="J124" s="2">
        <v>16426.158373439997</v>
      </c>
      <c r="K124" s="2">
        <f t="shared" si="18"/>
        <v>10793.828571428572</v>
      </c>
      <c r="L124" s="184">
        <f t="shared" ref="L124:L136" si="37">E124/8*12</f>
        <v>5040</v>
      </c>
    </row>
    <row r="125" spans="1:12">
      <c r="A125">
        <v>262</v>
      </c>
      <c r="B125">
        <v>4</v>
      </c>
      <c r="C125" t="s">
        <v>58</v>
      </c>
      <c r="D125" s="277">
        <v>4893.74</v>
      </c>
      <c r="E125" s="277">
        <v>3502.37</v>
      </c>
      <c r="F125" s="277">
        <f t="shared" ref="F125:F136" si="38">L125*5.8/100+L125</f>
        <v>5558.2611900000002</v>
      </c>
      <c r="G125" s="277">
        <v>2797.09</v>
      </c>
      <c r="H125" s="277">
        <f t="shared" si="36"/>
        <v>5617.7345847329998</v>
      </c>
      <c r="I125" s="275">
        <v>2797.09</v>
      </c>
      <c r="J125" s="2">
        <v>5954.79865981698</v>
      </c>
      <c r="K125" s="2">
        <f t="shared" si="18"/>
        <v>5082.712114285715</v>
      </c>
      <c r="L125" s="184">
        <f t="shared" si="37"/>
        <v>5253.5550000000003</v>
      </c>
    </row>
    <row r="126" spans="1:12">
      <c r="A126">
        <v>262</v>
      </c>
      <c r="B126">
        <v>6</v>
      </c>
      <c r="C126" t="s">
        <v>19</v>
      </c>
      <c r="D126" s="277">
        <v>130230</v>
      </c>
      <c r="E126" s="277">
        <v>95129.4</v>
      </c>
      <c r="F126" s="277">
        <f t="shared" si="38"/>
        <v>150970.35779999997</v>
      </c>
      <c r="G126" s="277">
        <v>80142</v>
      </c>
      <c r="H126" s="277">
        <f t="shared" si="36"/>
        <v>152585.74062845996</v>
      </c>
      <c r="I126" s="275">
        <v>80142</v>
      </c>
      <c r="J126" s="2">
        <v>161740.88506616757</v>
      </c>
      <c r="K126" s="2">
        <f t="shared" si="18"/>
        <v>145629.46285714285</v>
      </c>
      <c r="L126" s="184">
        <f t="shared" si="37"/>
        <v>142694.09999999998</v>
      </c>
    </row>
    <row r="127" spans="1:12">
      <c r="A127">
        <v>262</v>
      </c>
      <c r="B127">
        <v>7</v>
      </c>
      <c r="C127" t="s">
        <v>269</v>
      </c>
      <c r="D127" s="277">
        <v>58147.16</v>
      </c>
      <c r="E127" s="277">
        <v>0</v>
      </c>
      <c r="F127" s="277">
        <f t="shared" si="38"/>
        <v>0</v>
      </c>
      <c r="G127" s="277">
        <v>0</v>
      </c>
      <c r="H127" s="277">
        <f t="shared" si="36"/>
        <v>0</v>
      </c>
      <c r="I127" s="275">
        <v>0</v>
      </c>
      <c r="J127" s="30">
        <v>0</v>
      </c>
      <c r="K127" s="2">
        <f t="shared" si="18"/>
        <v>0</v>
      </c>
      <c r="L127" s="184">
        <f t="shared" si="37"/>
        <v>0</v>
      </c>
    </row>
    <row r="128" spans="1:12">
      <c r="A128">
        <v>262</v>
      </c>
      <c r="B128">
        <v>8</v>
      </c>
      <c r="C128" t="s">
        <v>173</v>
      </c>
      <c r="D128" s="277">
        <v>438755.99</v>
      </c>
      <c r="E128" s="277">
        <v>337745.98</v>
      </c>
      <c r="F128" s="277">
        <f>L128*5.8/100+L128-150000</f>
        <v>386002.87026</v>
      </c>
      <c r="G128" s="277">
        <v>394135.72</v>
      </c>
      <c r="H128" s="277">
        <v>800000</v>
      </c>
      <c r="I128" s="275">
        <v>394135.72</v>
      </c>
      <c r="J128" s="2">
        <v>848000</v>
      </c>
      <c r="K128" s="2">
        <f t="shared" si="18"/>
        <v>716200.90834285715</v>
      </c>
      <c r="L128" s="184">
        <f t="shared" si="37"/>
        <v>506618.97</v>
      </c>
    </row>
    <row r="129" spans="1:12">
      <c r="A129">
        <v>262</v>
      </c>
      <c r="B129">
        <v>10</v>
      </c>
      <c r="C129" t="s">
        <v>22</v>
      </c>
      <c r="D129" s="277">
        <v>826759.46</v>
      </c>
      <c r="E129" s="277">
        <v>585348.02</v>
      </c>
      <c r="F129" s="277">
        <f t="shared" si="38"/>
        <v>928947.30774000008</v>
      </c>
      <c r="G129" s="277">
        <v>452240.79</v>
      </c>
      <c r="H129" s="277">
        <f t="shared" si="36"/>
        <v>938887.04393281811</v>
      </c>
      <c r="I129" s="275">
        <v>452240.79</v>
      </c>
      <c r="J129" s="2">
        <v>995220.26656878716</v>
      </c>
      <c r="K129" s="2">
        <f t="shared" si="18"/>
        <v>821786.12125714286</v>
      </c>
      <c r="L129" s="184">
        <f t="shared" si="37"/>
        <v>878022.03</v>
      </c>
    </row>
    <row r="130" spans="1:12">
      <c r="A130">
        <v>262</v>
      </c>
      <c r="B130">
        <v>13</v>
      </c>
      <c r="C130" t="s">
        <v>273</v>
      </c>
      <c r="D130" s="277">
        <v>0</v>
      </c>
      <c r="E130" s="277">
        <v>2527.91</v>
      </c>
      <c r="F130" s="277">
        <f t="shared" si="38"/>
        <v>4011.7931699999999</v>
      </c>
      <c r="G130" s="277">
        <v>1894.1</v>
      </c>
      <c r="H130" s="277">
        <f t="shared" si="36"/>
        <v>4054.7193569189999</v>
      </c>
      <c r="I130" s="275">
        <v>1894.1</v>
      </c>
      <c r="J130" s="2">
        <v>4298.0025183341395</v>
      </c>
      <c r="K130" s="2">
        <f t="shared" si="18"/>
        <v>3441.8502857142857</v>
      </c>
      <c r="L130" s="184">
        <f t="shared" si="37"/>
        <v>3791.8649999999998</v>
      </c>
    </row>
    <row r="131" spans="1:12">
      <c r="A131">
        <v>262</v>
      </c>
      <c r="B131">
        <v>14</v>
      </c>
      <c r="C131" t="s">
        <v>25</v>
      </c>
      <c r="D131" s="277">
        <v>84980</v>
      </c>
      <c r="E131" s="277">
        <v>64369</v>
      </c>
      <c r="F131" s="277">
        <f t="shared" si="38"/>
        <v>102153.603</v>
      </c>
      <c r="G131" s="277">
        <v>54697.5</v>
      </c>
      <c r="H131" s="277">
        <f t="shared" si="36"/>
        <v>103246.64655210001</v>
      </c>
      <c r="I131" s="275">
        <v>54697.5</v>
      </c>
      <c r="J131" s="2">
        <v>109441.44534522601</v>
      </c>
      <c r="K131" s="2">
        <f t="shared" si="18"/>
        <v>99393.171428571426</v>
      </c>
      <c r="L131" s="184">
        <f t="shared" si="37"/>
        <v>96553.5</v>
      </c>
    </row>
    <row r="132" spans="1:12">
      <c r="A132">
        <v>262</v>
      </c>
      <c r="B132">
        <v>16</v>
      </c>
      <c r="C132" t="s">
        <v>27</v>
      </c>
      <c r="D132" s="277">
        <v>51885.52</v>
      </c>
      <c r="E132" s="277">
        <v>38389.5</v>
      </c>
      <c r="F132" s="277">
        <f t="shared" si="38"/>
        <v>60924.136500000001</v>
      </c>
      <c r="G132" s="277">
        <v>30336.16</v>
      </c>
      <c r="H132" s="277">
        <f t="shared" si="36"/>
        <v>61576.024760549997</v>
      </c>
      <c r="I132" s="275">
        <v>30336.16</v>
      </c>
      <c r="J132" s="2">
        <v>65270.586246182997</v>
      </c>
      <c r="K132" s="2">
        <f t="shared" ref="K132:K195" si="39">I132/7*12*1.06</f>
        <v>55125.136457142871</v>
      </c>
      <c r="L132" s="184">
        <f t="shared" si="37"/>
        <v>57584.25</v>
      </c>
    </row>
    <row r="133" spans="1:12">
      <c r="A133">
        <v>262</v>
      </c>
      <c r="B133">
        <v>17</v>
      </c>
      <c r="C133" t="s">
        <v>29</v>
      </c>
      <c r="D133" s="277">
        <v>18810</v>
      </c>
      <c r="E133" s="277">
        <v>13167</v>
      </c>
      <c r="F133" s="277">
        <f t="shared" si="38"/>
        <v>20896.028999999999</v>
      </c>
      <c r="G133" s="277">
        <v>9405</v>
      </c>
      <c r="H133" s="277">
        <f t="shared" si="36"/>
        <v>21119.616510299998</v>
      </c>
      <c r="I133" s="275">
        <v>9405</v>
      </c>
      <c r="J133" s="2">
        <v>22386.793500918</v>
      </c>
      <c r="K133" s="2">
        <f t="shared" si="39"/>
        <v>17090.228571428575</v>
      </c>
      <c r="L133" s="184">
        <f t="shared" si="37"/>
        <v>19750.5</v>
      </c>
    </row>
    <row r="134" spans="1:12">
      <c r="A134">
        <v>262</v>
      </c>
      <c r="B134">
        <v>18</v>
      </c>
      <c r="C134" t="s">
        <v>31</v>
      </c>
      <c r="D134" s="277">
        <v>346796.84</v>
      </c>
      <c r="E134" s="277">
        <v>243017.77</v>
      </c>
      <c r="F134" s="277">
        <f t="shared" si="38"/>
        <v>385669.20098999998</v>
      </c>
      <c r="G134" s="277">
        <v>195680.46</v>
      </c>
      <c r="H134" s="277">
        <f t="shared" si="36"/>
        <v>389795.86144059297</v>
      </c>
      <c r="I134" s="275">
        <v>195680.46</v>
      </c>
      <c r="J134" s="2">
        <v>413183.61312702857</v>
      </c>
      <c r="K134" s="2">
        <f t="shared" si="39"/>
        <v>355579.35017142858</v>
      </c>
      <c r="L134" s="184">
        <f t="shared" si="37"/>
        <v>364526.65499999997</v>
      </c>
    </row>
    <row r="135" spans="1:12">
      <c r="A135">
        <v>262</v>
      </c>
      <c r="B135">
        <v>102</v>
      </c>
      <c r="C135" t="s">
        <v>66</v>
      </c>
      <c r="D135" s="277">
        <v>52986.1</v>
      </c>
      <c r="E135" s="277">
        <v>39057.440000000002</v>
      </c>
      <c r="F135" s="277">
        <f t="shared" si="38"/>
        <v>61984.157280000007</v>
      </c>
      <c r="G135" s="277">
        <v>31433.279999999999</v>
      </c>
      <c r="H135" s="277">
        <f t="shared" si="36"/>
        <v>62647.387762896004</v>
      </c>
      <c r="I135" s="275">
        <v>31433.279999999999</v>
      </c>
      <c r="J135" s="2">
        <v>66406.231028669761</v>
      </c>
      <c r="K135" s="2">
        <f t="shared" si="39"/>
        <v>57118.760228571431</v>
      </c>
      <c r="L135" s="184">
        <f t="shared" si="37"/>
        <v>58586.16</v>
      </c>
    </row>
    <row r="136" spans="1:12">
      <c r="A136">
        <v>262</v>
      </c>
      <c r="B136">
        <v>104</v>
      </c>
      <c r="C136" t="s">
        <v>34</v>
      </c>
      <c r="D136" s="277">
        <v>4013.76</v>
      </c>
      <c r="E136" s="277">
        <v>2834.04</v>
      </c>
      <c r="F136" s="277">
        <f t="shared" si="38"/>
        <v>4497.6214799999998</v>
      </c>
      <c r="G136" s="277">
        <v>2421.75</v>
      </c>
      <c r="H136" s="277">
        <f t="shared" si="36"/>
        <v>4545.7460298360002</v>
      </c>
      <c r="I136" s="275">
        <v>2421.75</v>
      </c>
      <c r="J136" s="2">
        <v>4818.49079162616</v>
      </c>
      <c r="K136" s="2">
        <f t="shared" si="39"/>
        <v>4400.6657142857148</v>
      </c>
      <c r="L136" s="184">
        <f t="shared" si="37"/>
        <v>4251.0599999999995</v>
      </c>
    </row>
    <row r="137" spans="1:12" ht="15.75" thickBot="1">
      <c r="D137" s="278">
        <f t="shared" ref="D137:I137" si="40">SUM(D123:D136)</f>
        <v>6697742.709999999</v>
      </c>
      <c r="E137" s="278">
        <f t="shared" si="40"/>
        <v>4797987.96</v>
      </c>
      <c r="F137" s="278">
        <f t="shared" si="40"/>
        <v>7474406.8925200012</v>
      </c>
      <c r="G137" s="278">
        <f t="shared" si="40"/>
        <v>3824362.91</v>
      </c>
      <c r="H137" s="278">
        <f t="shared" si="40"/>
        <v>7964249.9452981809</v>
      </c>
      <c r="I137" s="276">
        <f t="shared" si="40"/>
        <v>3814362.91</v>
      </c>
      <c r="J137" s="4">
        <v>8442104.9420160726</v>
      </c>
      <c r="K137" s="2"/>
    </row>
    <row r="138" spans="1:12" ht="15.75" thickTop="1">
      <c r="D138" s="30"/>
      <c r="E138" s="30"/>
      <c r="F138" s="48"/>
      <c r="G138" s="48"/>
      <c r="H138" s="48"/>
      <c r="I138" s="243"/>
      <c r="J138" s="48"/>
      <c r="K138" s="2"/>
    </row>
    <row r="139" spans="1:12" s="35" customFormat="1">
      <c r="A139" s="35">
        <v>267</v>
      </c>
      <c r="B139" s="35">
        <v>1</v>
      </c>
      <c r="C139" s="35" t="s">
        <v>16</v>
      </c>
      <c r="D139" s="30">
        <v>330852.09999999998</v>
      </c>
      <c r="E139" s="30">
        <v>240396.47</v>
      </c>
      <c r="F139" s="30">
        <f>L139*5.8/100+L139</f>
        <v>381509.19789000001</v>
      </c>
      <c r="G139" s="30">
        <v>216445.83</v>
      </c>
      <c r="H139" s="30">
        <f>F139*1.7/100+F139</f>
        <v>387994.85425412998</v>
      </c>
      <c r="I139" s="275">
        <v>231264.71</v>
      </c>
      <c r="J139" s="30">
        <v>411274.54550937779</v>
      </c>
      <c r="K139" s="2">
        <f t="shared" si="39"/>
        <v>420241.01588571438</v>
      </c>
      <c r="L139" s="271">
        <f>E139/8*12</f>
        <v>360594.70500000002</v>
      </c>
    </row>
    <row r="140" spans="1:12" s="35" customFormat="1">
      <c r="A140" s="35">
        <v>267</v>
      </c>
      <c r="B140" s="35">
        <v>8</v>
      </c>
      <c r="C140" s="35" t="s">
        <v>21</v>
      </c>
      <c r="D140" s="30">
        <v>7046.6</v>
      </c>
      <c r="E140" s="30">
        <v>3523.3</v>
      </c>
      <c r="F140" s="30">
        <f t="shared" ref="F140:F146" si="41">L140*5.8/100+L140</f>
        <v>5591.477100000001</v>
      </c>
      <c r="G140" s="30">
        <v>4511.8599999999997</v>
      </c>
      <c r="H140" s="30">
        <f t="shared" ref="H140:H146" si="42">F140*1.7/100+F140</f>
        <v>5686.5322107000011</v>
      </c>
      <c r="I140" s="275">
        <v>4511.8599999999997</v>
      </c>
      <c r="J140" s="30">
        <v>6027.7241433420013</v>
      </c>
      <c r="K140" s="2">
        <f t="shared" si="39"/>
        <v>8198.6941714285731</v>
      </c>
      <c r="L140" s="271">
        <f t="shared" ref="L140:L146" si="43">E140/8*12</f>
        <v>5284.9500000000007</v>
      </c>
    </row>
    <row r="141" spans="1:12" s="35" customFormat="1">
      <c r="A141" s="35">
        <v>267</v>
      </c>
      <c r="B141" s="35">
        <v>10</v>
      </c>
      <c r="C141" s="35" t="s">
        <v>22</v>
      </c>
      <c r="D141" s="30">
        <v>37186.800000000003</v>
      </c>
      <c r="E141" s="30">
        <v>26030.76</v>
      </c>
      <c r="F141" s="30">
        <f t="shared" si="41"/>
        <v>41310.816120000003</v>
      </c>
      <c r="G141" s="30">
        <v>19894.939999999999</v>
      </c>
      <c r="H141" s="30">
        <f t="shared" si="42"/>
        <v>42013.09999404</v>
      </c>
      <c r="I141" s="275">
        <v>19894.939999999999</v>
      </c>
      <c r="J141" s="30">
        <v>44533.885993682401</v>
      </c>
      <c r="K141" s="2">
        <f t="shared" si="39"/>
        <v>36151.948114285718</v>
      </c>
      <c r="L141" s="271">
        <f t="shared" si="43"/>
        <v>39046.14</v>
      </c>
    </row>
    <row r="142" spans="1:12" s="35" customFormat="1">
      <c r="A142" s="35">
        <v>267</v>
      </c>
      <c r="B142" s="35">
        <v>16</v>
      </c>
      <c r="C142" s="35" t="s">
        <v>27</v>
      </c>
      <c r="D142" s="30">
        <v>2951.2</v>
      </c>
      <c r="E142" s="30">
        <v>2184.6799999999998</v>
      </c>
      <c r="F142" s="30">
        <f t="shared" si="41"/>
        <v>3467.0871599999996</v>
      </c>
      <c r="G142" s="30">
        <v>1961.4</v>
      </c>
      <c r="H142" s="30">
        <f t="shared" si="42"/>
        <v>3526.0276417199998</v>
      </c>
      <c r="I142" s="275">
        <v>1961.4</v>
      </c>
      <c r="J142" s="30">
        <v>3737.5893002231996</v>
      </c>
      <c r="K142" s="2">
        <f t="shared" si="39"/>
        <v>3564.1439999999998</v>
      </c>
      <c r="L142" s="271">
        <f t="shared" si="43"/>
        <v>3277.0199999999995</v>
      </c>
    </row>
    <row r="143" spans="1:12" s="35" customFormat="1">
      <c r="A143" s="35">
        <v>267</v>
      </c>
      <c r="B143" s="35">
        <v>17</v>
      </c>
      <c r="C143" s="35" t="s">
        <v>29</v>
      </c>
      <c r="D143" s="30">
        <v>21263.040000000001</v>
      </c>
      <c r="E143" s="30">
        <v>200</v>
      </c>
      <c r="F143" s="30">
        <f t="shared" si="41"/>
        <v>317.39999999999998</v>
      </c>
      <c r="G143" s="30">
        <v>0</v>
      </c>
      <c r="H143" s="30">
        <f t="shared" si="42"/>
        <v>322.79579999999999</v>
      </c>
      <c r="I143" s="275">
        <v>0</v>
      </c>
      <c r="J143" s="30">
        <v>342.16354799999999</v>
      </c>
      <c r="K143" s="2">
        <f t="shared" si="39"/>
        <v>0</v>
      </c>
      <c r="L143" s="271">
        <f t="shared" si="43"/>
        <v>300</v>
      </c>
    </row>
    <row r="144" spans="1:12" s="35" customFormat="1">
      <c r="A144" s="35">
        <v>267</v>
      </c>
      <c r="B144" s="35">
        <v>18</v>
      </c>
      <c r="C144" s="35" t="s">
        <v>31</v>
      </c>
      <c r="D144" s="30">
        <v>62970.42</v>
      </c>
      <c r="E144" s="30">
        <v>31485.21</v>
      </c>
      <c r="F144" s="30">
        <f t="shared" si="41"/>
        <v>49967.028270000003</v>
      </c>
      <c r="G144" s="30">
        <v>18086.3</v>
      </c>
      <c r="H144" s="30">
        <f t="shared" si="42"/>
        <v>50816.467750590004</v>
      </c>
      <c r="I144" s="275">
        <v>18086.3</v>
      </c>
      <c r="J144" s="30">
        <v>53865.455815625406</v>
      </c>
      <c r="K144" s="2">
        <f t="shared" si="39"/>
        <v>32865.390857142855</v>
      </c>
      <c r="L144" s="271">
        <f t="shared" si="43"/>
        <v>47227.815000000002</v>
      </c>
    </row>
    <row r="145" spans="1:12" s="35" customFormat="1">
      <c r="A145" s="35">
        <v>267</v>
      </c>
      <c r="B145" s="35">
        <v>102</v>
      </c>
      <c r="C145" s="35" t="s">
        <v>66</v>
      </c>
      <c r="D145" s="30">
        <v>3721.92</v>
      </c>
      <c r="E145" s="30">
        <v>2585.3000000000002</v>
      </c>
      <c r="F145" s="30">
        <f t="shared" si="41"/>
        <v>4102.8711000000003</v>
      </c>
      <c r="G145" s="30">
        <v>2322.62</v>
      </c>
      <c r="H145" s="30">
        <f t="shared" si="42"/>
        <v>4172.6199087000005</v>
      </c>
      <c r="I145" s="275">
        <v>2322.62</v>
      </c>
      <c r="J145" s="30">
        <v>4422.9771032220006</v>
      </c>
      <c r="K145" s="2">
        <f t="shared" si="39"/>
        <v>4220.5323428571428</v>
      </c>
      <c r="L145" s="271">
        <f t="shared" si="43"/>
        <v>3877.9500000000003</v>
      </c>
    </row>
    <row r="146" spans="1:12" s="35" customFormat="1">
      <c r="A146" s="35">
        <v>267</v>
      </c>
      <c r="B146" s="35">
        <v>104</v>
      </c>
      <c r="C146" s="35" t="s">
        <v>34</v>
      </c>
      <c r="D146" s="30">
        <v>135.6</v>
      </c>
      <c r="E146" s="30">
        <v>94.92</v>
      </c>
      <c r="F146" s="30">
        <f t="shared" si="41"/>
        <v>150.63803999999999</v>
      </c>
      <c r="G146" s="30">
        <v>72.5</v>
      </c>
      <c r="H146" s="30">
        <f t="shared" si="42"/>
        <v>153.19888667999999</v>
      </c>
      <c r="I146" s="275">
        <v>72.5</v>
      </c>
      <c r="J146" s="30">
        <v>162.3908198808</v>
      </c>
      <c r="K146" s="2">
        <f t="shared" si="39"/>
        <v>131.74285714285716</v>
      </c>
      <c r="L146" s="271">
        <f t="shared" si="43"/>
        <v>142.38</v>
      </c>
    </row>
    <row r="147" spans="1:12" s="35" customFormat="1" ht="15.75" thickBot="1">
      <c r="D147" s="279">
        <f t="shared" ref="D147:I147" si="44">SUM(D139:D146)</f>
        <v>466127.67999999988</v>
      </c>
      <c r="E147" s="279">
        <f t="shared" si="44"/>
        <v>306500.63999999996</v>
      </c>
      <c r="F147" s="279">
        <f t="shared" si="44"/>
        <v>486416.51568000007</v>
      </c>
      <c r="G147" s="279">
        <f t="shared" si="44"/>
        <v>263295.44999999995</v>
      </c>
      <c r="H147" s="279">
        <f t="shared" si="44"/>
        <v>494685.59644656</v>
      </c>
      <c r="I147" s="276">
        <f t="shared" si="44"/>
        <v>278114.32999999996</v>
      </c>
      <c r="J147" s="279">
        <v>524366.73223335354</v>
      </c>
      <c r="K147" s="2"/>
      <c r="L147" s="272"/>
    </row>
    <row r="148" spans="1:12" ht="15.75" thickTop="1">
      <c r="D148" s="277"/>
      <c r="E148" s="277"/>
      <c r="F148" s="159"/>
      <c r="G148" s="159"/>
      <c r="H148" s="159"/>
      <c r="I148" s="243"/>
      <c r="K148" s="2"/>
    </row>
    <row r="149" spans="1:12">
      <c r="A149">
        <v>268</v>
      </c>
      <c r="B149">
        <v>1</v>
      </c>
      <c r="C149" t="s">
        <v>16</v>
      </c>
      <c r="D149" s="277">
        <v>4385936.72</v>
      </c>
      <c r="E149" s="277">
        <v>3057357.36</v>
      </c>
      <c r="F149" s="277">
        <f>L149*5.8/100+L149</f>
        <v>4852026.1303199995</v>
      </c>
      <c r="G149" s="277">
        <v>2277456.2599999998</v>
      </c>
      <c r="H149" s="277">
        <f>F149*1.7/100+F149</f>
        <v>4934510.5745354397</v>
      </c>
      <c r="I149" s="275">
        <v>2277456.2599999998</v>
      </c>
      <c r="J149" s="2">
        <v>5230581.2090075659</v>
      </c>
      <c r="K149" s="2">
        <f t="shared" si="39"/>
        <v>4138463.3753142855</v>
      </c>
      <c r="L149" s="184">
        <f>E149/8*12</f>
        <v>4586036.04</v>
      </c>
    </row>
    <row r="150" spans="1:12">
      <c r="A150">
        <v>268</v>
      </c>
      <c r="B150">
        <v>4</v>
      </c>
      <c r="C150" t="s">
        <v>58</v>
      </c>
      <c r="D150" s="277">
        <v>9412.94</v>
      </c>
      <c r="E150" s="277">
        <v>6637.99</v>
      </c>
      <c r="F150" s="277">
        <f t="shared" ref="F150:F159" si="45">L150*5.8/100+L150</f>
        <v>10534.49013</v>
      </c>
      <c r="G150" s="277">
        <v>5118.54</v>
      </c>
      <c r="H150" s="277">
        <f t="shared" ref="H150:H159" si="46">F150*1.7/100+F150</f>
        <v>10713.57646221</v>
      </c>
      <c r="I150" s="275">
        <v>5118.54</v>
      </c>
      <c r="J150" s="2">
        <v>11356.3910499426</v>
      </c>
      <c r="K150" s="2">
        <f t="shared" si="39"/>
        <v>9301.1183999999994</v>
      </c>
      <c r="L150" s="184">
        <f t="shared" ref="L150:L159" si="47">E150/8*12</f>
        <v>9956.9850000000006</v>
      </c>
    </row>
    <row r="151" spans="1:12">
      <c r="A151">
        <v>268</v>
      </c>
      <c r="B151">
        <v>6</v>
      </c>
      <c r="C151" t="s">
        <v>19</v>
      </c>
      <c r="D151" s="277">
        <v>172667.64</v>
      </c>
      <c r="E151" s="277">
        <v>123666.3</v>
      </c>
      <c r="F151" s="277">
        <f>L151*5.8/100+L151-35844.08</f>
        <v>160414.33809999999</v>
      </c>
      <c r="G151" s="277">
        <v>89632.2</v>
      </c>
      <c r="H151" s="277">
        <f t="shared" si="46"/>
        <v>163141.38184769999</v>
      </c>
      <c r="I151" s="275">
        <v>89632.2</v>
      </c>
      <c r="J151" s="2">
        <v>172929.86475856198</v>
      </c>
      <c r="K151" s="2">
        <f t="shared" si="39"/>
        <v>162874.51200000002</v>
      </c>
      <c r="L151" s="184">
        <f t="shared" si="47"/>
        <v>185499.45</v>
      </c>
    </row>
    <row r="152" spans="1:12">
      <c r="A152">
        <v>268</v>
      </c>
      <c r="B152">
        <v>8</v>
      </c>
      <c r="C152" t="s">
        <v>173</v>
      </c>
      <c r="D152" s="277">
        <v>296869.53999999998</v>
      </c>
      <c r="E152" s="277">
        <v>288835.89</v>
      </c>
      <c r="F152" s="277">
        <f>L152*5.8/100+L152-200000</f>
        <v>258382.55743000004</v>
      </c>
      <c r="G152" s="277">
        <v>368358.48</v>
      </c>
      <c r="H152" s="277">
        <f t="shared" si="46"/>
        <v>262775.06090631004</v>
      </c>
      <c r="I152" s="275">
        <v>368358.48</v>
      </c>
      <c r="J152" s="2">
        <v>278541.56456068862</v>
      </c>
      <c r="K152" s="2">
        <f t="shared" si="39"/>
        <v>669359.98080000002</v>
      </c>
      <c r="L152" s="184">
        <f t="shared" si="47"/>
        <v>433253.83500000002</v>
      </c>
    </row>
    <row r="153" spans="1:12">
      <c r="A153">
        <v>268</v>
      </c>
      <c r="B153">
        <v>10</v>
      </c>
      <c r="C153" t="s">
        <v>22</v>
      </c>
      <c r="D153" s="277">
        <v>867855.88</v>
      </c>
      <c r="E153" s="277">
        <v>610094.09</v>
      </c>
      <c r="F153" s="277">
        <f t="shared" si="45"/>
        <v>968219.32082999998</v>
      </c>
      <c r="G153" s="277">
        <v>432459.73</v>
      </c>
      <c r="H153" s="277">
        <f t="shared" si="46"/>
        <v>984679.04928410996</v>
      </c>
      <c r="I153" s="275">
        <v>462459.73</v>
      </c>
      <c r="J153" s="2">
        <v>1043759.7922411566</v>
      </c>
      <c r="K153" s="2">
        <f t="shared" si="39"/>
        <v>840355.39508571429</v>
      </c>
      <c r="L153" s="184">
        <f t="shared" si="47"/>
        <v>915141.13500000001</v>
      </c>
    </row>
    <row r="154" spans="1:12">
      <c r="A154">
        <v>268</v>
      </c>
      <c r="B154">
        <v>11</v>
      </c>
      <c r="C154" t="s">
        <v>24</v>
      </c>
      <c r="D154" s="277">
        <v>5214.5</v>
      </c>
      <c r="E154" s="277">
        <v>0</v>
      </c>
      <c r="F154" s="277">
        <f t="shared" si="45"/>
        <v>0</v>
      </c>
      <c r="G154" s="277">
        <v>0</v>
      </c>
      <c r="H154" s="277">
        <f t="shared" si="46"/>
        <v>0</v>
      </c>
      <c r="I154" s="275"/>
      <c r="J154" s="2">
        <v>0</v>
      </c>
      <c r="K154" s="2">
        <f t="shared" si="39"/>
        <v>0</v>
      </c>
      <c r="L154" s="184">
        <f t="shared" si="47"/>
        <v>0</v>
      </c>
    </row>
    <row r="155" spans="1:12">
      <c r="A155">
        <v>268</v>
      </c>
      <c r="B155">
        <v>13</v>
      </c>
      <c r="C155" t="s">
        <v>273</v>
      </c>
      <c r="D155" s="277">
        <v>12401.58</v>
      </c>
      <c r="E155" s="277">
        <v>13872.37</v>
      </c>
      <c r="F155" s="277">
        <f t="shared" si="45"/>
        <v>22015.45119</v>
      </c>
      <c r="G155" s="277">
        <v>18733.39</v>
      </c>
      <c r="H155" s="277">
        <f t="shared" si="46"/>
        <v>22389.71386023</v>
      </c>
      <c r="I155" s="275">
        <v>18733.39</v>
      </c>
      <c r="J155" s="2">
        <v>23733.096691843799</v>
      </c>
      <c r="K155" s="2">
        <f t="shared" si="39"/>
        <v>34041.245828571431</v>
      </c>
      <c r="L155" s="184">
        <f t="shared" si="47"/>
        <v>20808.555</v>
      </c>
    </row>
    <row r="156" spans="1:12">
      <c r="A156">
        <v>268</v>
      </c>
      <c r="B156">
        <v>16</v>
      </c>
      <c r="C156" t="s">
        <v>27</v>
      </c>
      <c r="D156" s="277">
        <v>51079.6</v>
      </c>
      <c r="E156" s="277">
        <v>36329.129999999997</v>
      </c>
      <c r="F156" s="277">
        <f t="shared" si="45"/>
        <v>57654.329309999994</v>
      </c>
      <c r="G156" s="277">
        <v>28737.08</v>
      </c>
      <c r="H156" s="277">
        <f t="shared" si="46"/>
        <v>58634.452908269996</v>
      </c>
      <c r="I156" s="275">
        <v>28737.08</v>
      </c>
      <c r="J156" s="2">
        <v>62152.520082766197</v>
      </c>
      <c r="K156" s="2">
        <f t="shared" si="39"/>
        <v>52219.379657142854</v>
      </c>
      <c r="L156" s="184">
        <f t="shared" si="47"/>
        <v>54493.694999999992</v>
      </c>
    </row>
    <row r="157" spans="1:12">
      <c r="A157">
        <v>268</v>
      </c>
      <c r="B157">
        <v>18</v>
      </c>
      <c r="C157" t="s">
        <v>31</v>
      </c>
      <c r="D157" s="277">
        <v>255971.82</v>
      </c>
      <c r="E157" s="277">
        <v>154050.23000000001</v>
      </c>
      <c r="F157" s="277">
        <f t="shared" si="45"/>
        <v>244477.71501000004</v>
      </c>
      <c r="G157" s="277">
        <v>121186.76</v>
      </c>
      <c r="H157" s="277">
        <f t="shared" si="46"/>
        <v>248633.83616517004</v>
      </c>
      <c r="I157" s="275">
        <v>121186.76</v>
      </c>
      <c r="J157" s="2">
        <v>263551.86633508024</v>
      </c>
      <c r="K157" s="2">
        <f t="shared" si="39"/>
        <v>220213.65531428574</v>
      </c>
      <c r="L157" s="184">
        <f t="shared" si="47"/>
        <v>231075.34500000003</v>
      </c>
    </row>
    <row r="158" spans="1:12">
      <c r="A158">
        <v>268</v>
      </c>
      <c r="B158">
        <v>102</v>
      </c>
      <c r="C158" t="s">
        <v>66</v>
      </c>
      <c r="D158" s="277">
        <v>48243.199999999997</v>
      </c>
      <c r="E158" s="277">
        <v>34257.129999999997</v>
      </c>
      <c r="F158" s="277">
        <f t="shared" si="45"/>
        <v>54366.065309999991</v>
      </c>
      <c r="G158" s="277">
        <v>27101.9</v>
      </c>
      <c r="H158" s="277">
        <f t="shared" si="46"/>
        <v>55290.288420269993</v>
      </c>
      <c r="I158" s="275">
        <v>27101.9</v>
      </c>
      <c r="J158" s="2">
        <v>58607.705725486194</v>
      </c>
      <c r="K158" s="2">
        <f t="shared" si="39"/>
        <v>49248.024000000005</v>
      </c>
      <c r="L158" s="184">
        <f t="shared" si="47"/>
        <v>51385.694999999992</v>
      </c>
    </row>
    <row r="159" spans="1:12">
      <c r="A159">
        <v>268</v>
      </c>
      <c r="B159">
        <v>104</v>
      </c>
      <c r="C159" t="s">
        <v>34</v>
      </c>
      <c r="D159" s="277">
        <v>4610.3999999999996</v>
      </c>
      <c r="E159" s="277">
        <v>3240.84</v>
      </c>
      <c r="F159" s="277">
        <f t="shared" si="45"/>
        <v>5143.2130800000004</v>
      </c>
      <c r="G159" s="277">
        <v>2392.5</v>
      </c>
      <c r="H159" s="277">
        <f t="shared" si="46"/>
        <v>5230.64770236</v>
      </c>
      <c r="I159" s="275">
        <v>2392.5</v>
      </c>
      <c r="J159" s="2">
        <v>5544.4865645015998</v>
      </c>
      <c r="K159" s="2">
        <f t="shared" si="39"/>
        <v>4347.5142857142864</v>
      </c>
      <c r="L159" s="184">
        <f t="shared" si="47"/>
        <v>4861.26</v>
      </c>
    </row>
    <row r="160" spans="1:12" ht="15.75" thickBot="1">
      <c r="D160" s="278">
        <f t="shared" ref="D160:I160" si="48">SUM(D149:D159)</f>
        <v>6110263.8200000003</v>
      </c>
      <c r="E160" s="278">
        <f t="shared" si="48"/>
        <v>4328341.33</v>
      </c>
      <c r="F160" s="278">
        <f t="shared" si="48"/>
        <v>6633233.6107100006</v>
      </c>
      <c r="G160" s="278">
        <f t="shared" si="48"/>
        <v>3371176.84</v>
      </c>
      <c r="H160" s="278">
        <f t="shared" si="48"/>
        <v>6745998.5820920691</v>
      </c>
      <c r="I160" s="276">
        <f t="shared" si="48"/>
        <v>3401176.84</v>
      </c>
      <c r="J160" s="4">
        <v>7150758.4970175941</v>
      </c>
      <c r="K160" s="2"/>
    </row>
    <row r="161" spans="1:12" ht="15.75" thickTop="1">
      <c r="D161" s="277"/>
      <c r="E161" s="277"/>
      <c r="F161" s="159"/>
      <c r="G161" s="159"/>
      <c r="H161" s="159"/>
      <c r="I161" s="243"/>
      <c r="K161" s="2"/>
    </row>
    <row r="162" spans="1:12">
      <c r="A162">
        <v>274</v>
      </c>
      <c r="B162">
        <v>1</v>
      </c>
      <c r="C162" t="s">
        <v>16</v>
      </c>
      <c r="D162" s="277">
        <v>4828937.71</v>
      </c>
      <c r="E162" s="277">
        <v>3259873.06</v>
      </c>
      <c r="F162" s="277">
        <f>L162*5.8/100+L162</f>
        <v>5173418.5462199999</v>
      </c>
      <c r="G162" s="277">
        <v>2071369.63</v>
      </c>
      <c r="H162" s="277">
        <f>F162*1.7/100+F162</f>
        <v>5261366.6615057401</v>
      </c>
      <c r="I162" s="275">
        <v>2122199.4</v>
      </c>
      <c r="J162" s="2">
        <v>5577048.6611960847</v>
      </c>
      <c r="K162" s="2">
        <f t="shared" si="39"/>
        <v>3856339.4811428571</v>
      </c>
      <c r="L162" s="184">
        <f>E162/8*12</f>
        <v>4889809.59</v>
      </c>
    </row>
    <row r="163" spans="1:12">
      <c r="A163">
        <v>274</v>
      </c>
      <c r="B163">
        <v>3</v>
      </c>
      <c r="C163" t="s">
        <v>56</v>
      </c>
      <c r="D163" s="277">
        <v>74820</v>
      </c>
      <c r="E163" s="277">
        <v>54500</v>
      </c>
      <c r="F163" s="277">
        <f t="shared" ref="F163:F174" si="49">L163*5.8/100+L163</f>
        <v>86491.5</v>
      </c>
      <c r="G163" s="277">
        <v>8190</v>
      </c>
      <c r="H163" s="277">
        <f t="shared" ref="H163:H175" si="50">F163*1.7/100+F163</f>
        <v>87961.855500000005</v>
      </c>
      <c r="I163" s="275">
        <v>8190</v>
      </c>
      <c r="J163" s="2">
        <v>93239.566830000011</v>
      </c>
      <c r="K163" s="2">
        <f t="shared" si="39"/>
        <v>14882.400000000001</v>
      </c>
      <c r="L163" s="184">
        <f t="shared" ref="L163:L175" si="51">E163/8*12</f>
        <v>81750</v>
      </c>
    </row>
    <row r="164" spans="1:12">
      <c r="A164">
        <v>274</v>
      </c>
      <c r="B164">
        <v>4</v>
      </c>
      <c r="C164" t="s">
        <v>58</v>
      </c>
      <c r="D164" s="277">
        <v>17248.66</v>
      </c>
      <c r="E164" s="277">
        <v>11904.19</v>
      </c>
      <c r="F164" s="277">
        <f t="shared" si="49"/>
        <v>18891.949529999998</v>
      </c>
      <c r="G164" s="277">
        <v>7720.24</v>
      </c>
      <c r="H164" s="277">
        <f t="shared" si="50"/>
        <v>19213.112672009996</v>
      </c>
      <c r="I164" s="275">
        <v>7720.24</v>
      </c>
      <c r="J164" s="2">
        <v>20365.899432330596</v>
      </c>
      <c r="K164" s="2">
        <f t="shared" si="39"/>
        <v>14028.778971428572</v>
      </c>
      <c r="L164" s="184">
        <f t="shared" si="51"/>
        <v>17856.285</v>
      </c>
    </row>
    <row r="165" spans="1:12">
      <c r="A165">
        <v>274</v>
      </c>
      <c r="B165">
        <v>6</v>
      </c>
      <c r="C165" t="s">
        <v>19</v>
      </c>
      <c r="D165" s="277">
        <v>288562.02</v>
      </c>
      <c r="E165" s="277">
        <v>196768.56</v>
      </c>
      <c r="F165" s="277">
        <f t="shared" si="49"/>
        <v>312271.70471999998</v>
      </c>
      <c r="G165" s="277">
        <v>126406.41</v>
      </c>
      <c r="H165" s="277">
        <f t="shared" si="50"/>
        <v>317580.32370024</v>
      </c>
      <c r="I165" s="275">
        <v>126406.41</v>
      </c>
      <c r="J165" s="2">
        <v>336635.14312225441</v>
      </c>
      <c r="K165" s="2">
        <f t="shared" si="39"/>
        <v>229698.50502857147</v>
      </c>
      <c r="L165" s="184">
        <f t="shared" si="51"/>
        <v>295152.83999999997</v>
      </c>
    </row>
    <row r="166" spans="1:12">
      <c r="A166">
        <v>274</v>
      </c>
      <c r="B166">
        <v>8</v>
      </c>
      <c r="C166" t="s">
        <v>173</v>
      </c>
      <c r="D166" s="277">
        <v>15495.86</v>
      </c>
      <c r="E166" s="277">
        <v>8307.7800000000007</v>
      </c>
      <c r="F166" s="277">
        <f t="shared" si="49"/>
        <v>13184.446860000002</v>
      </c>
      <c r="G166" s="277">
        <v>16749.32</v>
      </c>
      <c r="H166" s="277">
        <f t="shared" si="50"/>
        <v>13408.582456620003</v>
      </c>
      <c r="I166" s="275">
        <v>16749.32</v>
      </c>
      <c r="J166" s="2">
        <v>14213.097404017202</v>
      </c>
      <c r="K166" s="2">
        <f t="shared" si="39"/>
        <v>30435.907199999998</v>
      </c>
      <c r="L166" s="184">
        <f t="shared" si="51"/>
        <v>12461.670000000002</v>
      </c>
    </row>
    <row r="167" spans="1:12">
      <c r="A167">
        <v>274</v>
      </c>
      <c r="B167">
        <v>10</v>
      </c>
      <c r="C167" t="s">
        <v>22</v>
      </c>
      <c r="D167" s="277">
        <v>816561.28</v>
      </c>
      <c r="E167" s="277">
        <v>564320.57999999996</v>
      </c>
      <c r="F167" s="277">
        <f t="shared" si="49"/>
        <v>895576.7604599999</v>
      </c>
      <c r="G167" s="277">
        <v>391192.81</v>
      </c>
      <c r="H167" s="277">
        <f t="shared" si="50"/>
        <v>910801.56538781989</v>
      </c>
      <c r="I167" s="275">
        <v>391192.81</v>
      </c>
      <c r="J167" s="2">
        <v>965449.65931108908</v>
      </c>
      <c r="K167" s="2">
        <f t="shared" si="39"/>
        <v>710853.2204571428</v>
      </c>
      <c r="L167" s="184">
        <f t="shared" si="51"/>
        <v>846480.86999999988</v>
      </c>
    </row>
    <row r="168" spans="1:12">
      <c r="A168">
        <v>274</v>
      </c>
      <c r="B168">
        <v>11</v>
      </c>
      <c r="C168" t="s">
        <v>24</v>
      </c>
      <c r="D168" s="277">
        <v>210705.32</v>
      </c>
      <c r="E168" s="277">
        <v>141020.20000000001</v>
      </c>
      <c r="F168" s="277">
        <f>L168*5.8/100+L168+400000</f>
        <v>623799.05740000005</v>
      </c>
      <c r="G168" s="277">
        <v>139592.09</v>
      </c>
      <c r="H168" s="277">
        <f t="shared" si="50"/>
        <v>634403.64137580001</v>
      </c>
      <c r="I168" s="275">
        <v>139592.09</v>
      </c>
      <c r="J168" s="2">
        <v>672467.85985834803</v>
      </c>
      <c r="K168" s="2">
        <f t="shared" si="39"/>
        <v>253658.76925714291</v>
      </c>
      <c r="L168" s="184">
        <f t="shared" si="51"/>
        <v>211530.30000000002</v>
      </c>
    </row>
    <row r="169" spans="1:12">
      <c r="A169">
        <v>274</v>
      </c>
      <c r="B169">
        <v>14</v>
      </c>
      <c r="C169" t="s">
        <v>25</v>
      </c>
      <c r="D169" s="277">
        <v>222504</v>
      </c>
      <c r="E169" s="277">
        <v>156803</v>
      </c>
      <c r="F169" s="277">
        <f>L169*5.8/100+L169+150000</f>
        <v>398846.36100000003</v>
      </c>
      <c r="G169" s="277">
        <v>132559.5</v>
      </c>
      <c r="H169" s="277">
        <f t="shared" si="50"/>
        <v>405626.74913700001</v>
      </c>
      <c r="I169" s="275">
        <v>132559.5</v>
      </c>
      <c r="J169" s="2">
        <v>429964.35408522002</v>
      </c>
      <c r="K169" s="2">
        <f t="shared" si="39"/>
        <v>240879.54857142858</v>
      </c>
      <c r="L169" s="184">
        <f t="shared" si="51"/>
        <v>235204.5</v>
      </c>
    </row>
    <row r="170" spans="1:12">
      <c r="A170">
        <v>274</v>
      </c>
      <c r="B170">
        <v>16</v>
      </c>
      <c r="C170" t="s">
        <v>27</v>
      </c>
      <c r="D170" s="277">
        <v>42975.58</v>
      </c>
      <c r="E170" s="277">
        <v>29923.03</v>
      </c>
      <c r="F170" s="277">
        <f t="shared" si="49"/>
        <v>47487.848610000001</v>
      </c>
      <c r="G170" s="277">
        <v>19750.060000000001</v>
      </c>
      <c r="H170" s="277">
        <f t="shared" si="50"/>
        <v>48295.142036370002</v>
      </c>
      <c r="I170" s="275">
        <v>19750.060000000001</v>
      </c>
      <c r="J170" s="2">
        <v>51192.8505585522</v>
      </c>
      <c r="K170" s="2">
        <f t="shared" si="39"/>
        <v>35888.680457142858</v>
      </c>
      <c r="L170" s="184">
        <f t="shared" si="51"/>
        <v>44884.544999999998</v>
      </c>
    </row>
    <row r="171" spans="1:12">
      <c r="A171">
        <v>274</v>
      </c>
      <c r="B171">
        <v>17</v>
      </c>
      <c r="C171" t="s">
        <v>29</v>
      </c>
      <c r="D171" s="277">
        <v>35310</v>
      </c>
      <c r="E171" s="277">
        <v>22909.8</v>
      </c>
      <c r="F171" s="277">
        <f t="shared" si="49"/>
        <v>36357.852599999998</v>
      </c>
      <c r="G171" s="277">
        <v>10909.8</v>
      </c>
      <c r="H171" s="277">
        <f t="shared" si="50"/>
        <v>36975.936094199998</v>
      </c>
      <c r="I171" s="275">
        <v>10909.8</v>
      </c>
      <c r="J171" s="2">
        <v>39194.492259851999</v>
      </c>
      <c r="K171" s="2">
        <f t="shared" si="39"/>
        <v>19824.665142857142</v>
      </c>
      <c r="L171" s="184">
        <f t="shared" si="51"/>
        <v>34364.699999999997</v>
      </c>
    </row>
    <row r="172" spans="1:12">
      <c r="A172">
        <v>274</v>
      </c>
      <c r="B172">
        <v>18</v>
      </c>
      <c r="C172" t="s">
        <v>31</v>
      </c>
      <c r="D172" s="277">
        <v>345911.88</v>
      </c>
      <c r="E172" s="277">
        <v>242037.43</v>
      </c>
      <c r="F172" s="277">
        <f t="shared" si="49"/>
        <v>384113.40140999999</v>
      </c>
      <c r="G172" s="277">
        <v>104237.34</v>
      </c>
      <c r="H172" s="277">
        <f t="shared" si="50"/>
        <v>390643.32923396997</v>
      </c>
      <c r="I172" s="275">
        <v>104237.34</v>
      </c>
      <c r="J172" s="2">
        <v>414081.92898800818</v>
      </c>
      <c r="K172" s="2">
        <f t="shared" si="39"/>
        <v>189414.13782857143</v>
      </c>
      <c r="L172" s="184">
        <f t="shared" si="51"/>
        <v>363056.14500000002</v>
      </c>
    </row>
    <row r="173" spans="1:12">
      <c r="A173">
        <v>274</v>
      </c>
      <c r="B173">
        <v>102</v>
      </c>
      <c r="C173" t="s">
        <v>66</v>
      </c>
      <c r="D173" s="277">
        <v>55298.62</v>
      </c>
      <c r="E173" s="277">
        <v>38239.46</v>
      </c>
      <c r="F173" s="277">
        <f t="shared" si="49"/>
        <v>60686.023020000001</v>
      </c>
      <c r="G173" s="277">
        <v>24293.43</v>
      </c>
      <c r="H173" s="277">
        <f t="shared" si="50"/>
        <v>61717.685411340004</v>
      </c>
      <c r="I173" s="275">
        <v>24293.43</v>
      </c>
      <c r="J173" s="2">
        <v>65420.746536020408</v>
      </c>
      <c r="K173" s="2">
        <f t="shared" si="39"/>
        <v>44144.632800000007</v>
      </c>
      <c r="L173" s="184">
        <f t="shared" si="51"/>
        <v>57359.19</v>
      </c>
    </row>
    <row r="174" spans="1:12">
      <c r="A174">
        <v>274</v>
      </c>
      <c r="B174">
        <v>103</v>
      </c>
      <c r="C174" t="s">
        <v>382</v>
      </c>
      <c r="D174" s="277">
        <v>5756.6</v>
      </c>
      <c r="E174" s="277">
        <v>4258.6000000000004</v>
      </c>
      <c r="F174" s="277">
        <f t="shared" si="49"/>
        <v>6758.3982000000005</v>
      </c>
      <c r="G174" s="277">
        <v>1776.2</v>
      </c>
      <c r="H174" s="277">
        <f t="shared" si="50"/>
        <v>6873.2909694000009</v>
      </c>
      <c r="I174" s="275">
        <v>2033</v>
      </c>
      <c r="J174" s="2">
        <v>7285.6884275640014</v>
      </c>
      <c r="K174" s="2">
        <f t="shared" si="39"/>
        <v>3694.2514285714292</v>
      </c>
      <c r="L174" s="184">
        <f t="shared" si="51"/>
        <v>6387.9000000000005</v>
      </c>
    </row>
    <row r="175" spans="1:12">
      <c r="A175">
        <v>274</v>
      </c>
      <c r="B175">
        <v>104</v>
      </c>
      <c r="C175" t="s">
        <v>34</v>
      </c>
      <c r="D175" s="277">
        <v>2287.34</v>
      </c>
      <c r="E175" s="277">
        <v>1590.29</v>
      </c>
      <c r="F175" s="277">
        <f>L175*5.8/100+L175</f>
        <v>2523.7902300000001</v>
      </c>
      <c r="G175" s="277">
        <v>1087.5</v>
      </c>
      <c r="H175" s="277">
        <f t="shared" si="50"/>
        <v>2566.6946639100001</v>
      </c>
      <c r="I175" s="275">
        <v>1087.5</v>
      </c>
      <c r="J175" s="2">
        <v>2720.6963437446002</v>
      </c>
      <c r="K175" s="2">
        <f t="shared" si="39"/>
        <v>1976.1428571428571</v>
      </c>
      <c r="L175" s="184">
        <f t="shared" si="51"/>
        <v>2385.4349999999999</v>
      </c>
    </row>
    <row r="176" spans="1:12" ht="15.75" thickBot="1">
      <c r="D176" s="278">
        <f t="shared" ref="D176:I176" si="52">SUM(D162:D175)</f>
        <v>6962374.870000001</v>
      </c>
      <c r="E176" s="278">
        <f t="shared" si="52"/>
        <v>4732455.9799999995</v>
      </c>
      <c r="F176" s="278">
        <f t="shared" si="52"/>
        <v>8060407.6402599989</v>
      </c>
      <c r="G176" s="278">
        <f t="shared" si="52"/>
        <v>3055834.3299999996</v>
      </c>
      <c r="H176" s="278">
        <f t="shared" si="52"/>
        <v>8197434.5701444196</v>
      </c>
      <c r="I176" s="276">
        <f t="shared" si="52"/>
        <v>3106920.9</v>
      </c>
      <c r="J176" s="4">
        <v>8689280.6443530843</v>
      </c>
      <c r="K176" s="2"/>
    </row>
    <row r="177" spans="1:12" ht="15.75" thickTop="1">
      <c r="D177" s="277"/>
      <c r="E177" s="277"/>
      <c r="F177" s="159"/>
      <c r="G177" s="159"/>
      <c r="H177" s="159"/>
      <c r="I177" s="243"/>
      <c r="K177" s="2"/>
    </row>
    <row r="178" spans="1:12">
      <c r="A178">
        <v>275</v>
      </c>
      <c r="B178">
        <v>1</v>
      </c>
      <c r="C178" t="s">
        <v>16</v>
      </c>
      <c r="D178" s="277">
        <v>3667667.58</v>
      </c>
      <c r="E178" s="277">
        <v>2655614.5299999998</v>
      </c>
      <c r="F178" s="277">
        <f>L178*5.8/100+L178</f>
        <v>4214460.25911</v>
      </c>
      <c r="G178" s="277">
        <v>2115453.08</v>
      </c>
      <c r="H178" s="277">
        <f>F178*1.7/100+F178</f>
        <v>4286106.0835148701</v>
      </c>
      <c r="I178" s="275">
        <v>2115453.08</v>
      </c>
      <c r="J178" s="2">
        <v>4543272.4485257622</v>
      </c>
      <c r="K178" s="2">
        <f t="shared" si="39"/>
        <v>3844080.4539428568</v>
      </c>
      <c r="L178" s="184">
        <f>E178/8*12</f>
        <v>3983421.7949999999</v>
      </c>
    </row>
    <row r="179" spans="1:12">
      <c r="A179">
        <v>275</v>
      </c>
      <c r="B179">
        <v>3</v>
      </c>
      <c r="C179" t="s">
        <v>125</v>
      </c>
      <c r="D179" s="277">
        <v>110656.24</v>
      </c>
      <c r="E179" s="277">
        <v>77500.02</v>
      </c>
      <c r="F179" s="277">
        <f>L179*5.8/100+L179+40000</f>
        <v>162992.53174000001</v>
      </c>
      <c r="G179" s="277">
        <v>57271.9</v>
      </c>
      <c r="H179" s="277">
        <f t="shared" ref="H179:H191" si="53">F179*1.7/100+F179</f>
        <v>165763.40477958001</v>
      </c>
      <c r="I179" s="275">
        <v>57271.9</v>
      </c>
      <c r="J179" s="2">
        <v>175709.20906635482</v>
      </c>
      <c r="K179" s="2">
        <f t="shared" si="39"/>
        <v>104071.224</v>
      </c>
      <c r="L179" s="184">
        <f t="shared" ref="L179:L191" si="54">E179/8*12</f>
        <v>116250.03</v>
      </c>
    </row>
    <row r="180" spans="1:12">
      <c r="A180">
        <v>275</v>
      </c>
      <c r="B180">
        <v>4</v>
      </c>
      <c r="C180" t="s">
        <v>58</v>
      </c>
      <c r="D180" s="277">
        <v>9459.32</v>
      </c>
      <c r="E180" s="277">
        <v>7166.4</v>
      </c>
      <c r="F180" s="277">
        <f t="shared" ref="F180:F191" si="55">L180*5.8/100+L180</f>
        <v>11373.076799999999</v>
      </c>
      <c r="G180" s="277">
        <v>6250.07</v>
      </c>
      <c r="H180" s="277">
        <f>F180*1.7/100+F180</f>
        <v>11566.419105599998</v>
      </c>
      <c r="I180" s="275">
        <v>6250.07</v>
      </c>
      <c r="J180" s="2">
        <v>12260.404251935997</v>
      </c>
      <c r="K180" s="2">
        <f t="shared" si="39"/>
        <v>11357.270057142856</v>
      </c>
      <c r="L180" s="184">
        <f t="shared" si="54"/>
        <v>10749.599999999999</v>
      </c>
    </row>
    <row r="181" spans="1:12">
      <c r="A181">
        <v>275</v>
      </c>
      <c r="B181">
        <v>6</v>
      </c>
      <c r="C181" t="s">
        <v>19</v>
      </c>
      <c r="D181" s="277">
        <v>109663.2</v>
      </c>
      <c r="E181" s="277">
        <v>83895.6</v>
      </c>
      <c r="F181" s="277">
        <f t="shared" si="55"/>
        <v>133142.31720000002</v>
      </c>
      <c r="G181" s="277">
        <v>76918.8</v>
      </c>
      <c r="H181" s="277">
        <f t="shared" si="53"/>
        <v>135405.73659240003</v>
      </c>
      <c r="I181" s="275">
        <v>76918.8</v>
      </c>
      <c r="J181" s="2">
        <v>143530.08078794403</v>
      </c>
      <c r="K181" s="2">
        <f t="shared" si="39"/>
        <v>139772.448</v>
      </c>
      <c r="L181" s="184">
        <f t="shared" si="54"/>
        <v>125843.40000000001</v>
      </c>
    </row>
    <row r="182" spans="1:12">
      <c r="A182">
        <v>275</v>
      </c>
      <c r="B182">
        <v>8</v>
      </c>
      <c r="C182" t="s">
        <v>173</v>
      </c>
      <c r="D182" s="277">
        <v>308487.15999999997</v>
      </c>
      <c r="E182" s="277">
        <v>251900.25</v>
      </c>
      <c r="F182" s="277">
        <f t="shared" si="55"/>
        <v>399765.69675</v>
      </c>
      <c r="G182" s="277">
        <v>218881.92000000001</v>
      </c>
      <c r="H182" s="277">
        <f t="shared" si="53"/>
        <v>406561.71359474998</v>
      </c>
      <c r="I182" s="275">
        <v>218881.92000000001</v>
      </c>
      <c r="J182" s="2">
        <v>430955.41641043499</v>
      </c>
      <c r="K182" s="2">
        <f t="shared" si="39"/>
        <v>397739.71748571435</v>
      </c>
      <c r="L182" s="184">
        <f t="shared" si="54"/>
        <v>377850.375</v>
      </c>
    </row>
    <row r="183" spans="1:12">
      <c r="A183">
        <v>275</v>
      </c>
      <c r="B183">
        <v>10</v>
      </c>
      <c r="C183" t="s">
        <v>22</v>
      </c>
      <c r="D183" s="277">
        <v>544397.18000000005</v>
      </c>
      <c r="E183" s="277">
        <v>399968.63</v>
      </c>
      <c r="F183" s="277">
        <f t="shared" si="55"/>
        <v>634750.21581000008</v>
      </c>
      <c r="G183" s="277">
        <v>327514.53000000003</v>
      </c>
      <c r="H183" s="277">
        <f t="shared" si="53"/>
        <v>645540.96947877004</v>
      </c>
      <c r="I183" s="275">
        <v>327514.53000000003</v>
      </c>
      <c r="J183" s="2">
        <v>684273.42764749622</v>
      </c>
      <c r="K183" s="2">
        <f t="shared" si="39"/>
        <v>595140.6888</v>
      </c>
      <c r="L183" s="184">
        <f t="shared" si="54"/>
        <v>599952.94500000007</v>
      </c>
    </row>
    <row r="184" spans="1:12" s="35" customFormat="1">
      <c r="A184" s="35">
        <v>275</v>
      </c>
      <c r="B184" s="35">
        <v>11</v>
      </c>
      <c r="C184" s="35" t="s">
        <v>24</v>
      </c>
      <c r="D184" s="277"/>
      <c r="E184" s="277"/>
      <c r="F184" s="277"/>
      <c r="G184" s="277">
        <v>37353.160000000003</v>
      </c>
      <c r="H184" s="277">
        <v>60000</v>
      </c>
      <c r="I184" s="275">
        <v>37353.160000000003</v>
      </c>
      <c r="J184" s="2">
        <v>63600</v>
      </c>
      <c r="K184" s="2">
        <f t="shared" si="39"/>
        <v>67876.027885714298</v>
      </c>
      <c r="L184" s="271"/>
    </row>
    <row r="185" spans="1:12">
      <c r="A185">
        <v>275</v>
      </c>
      <c r="B185">
        <v>13</v>
      </c>
      <c r="C185" t="s">
        <v>273</v>
      </c>
      <c r="D185" s="277">
        <v>46642.9</v>
      </c>
      <c r="E185" s="277">
        <v>34594.29</v>
      </c>
      <c r="F185" s="277">
        <f t="shared" si="55"/>
        <v>54901.138229999997</v>
      </c>
      <c r="G185" s="277">
        <v>27567.01</v>
      </c>
      <c r="H185" s="277">
        <f t="shared" si="53"/>
        <v>55834.457579909998</v>
      </c>
      <c r="I185" s="275">
        <v>27567.01</v>
      </c>
      <c r="J185" s="2">
        <v>59184.525034704595</v>
      </c>
      <c r="K185" s="2">
        <f t="shared" si="39"/>
        <v>50093.195314285709</v>
      </c>
      <c r="L185" s="184">
        <f t="shared" si="54"/>
        <v>51891.434999999998</v>
      </c>
    </row>
    <row r="186" spans="1:12">
      <c r="A186">
        <v>275</v>
      </c>
      <c r="B186">
        <v>14</v>
      </c>
      <c r="C186" t="s">
        <v>25</v>
      </c>
      <c r="D186" s="277">
        <v>106428</v>
      </c>
      <c r="E186" s="277">
        <v>78821</v>
      </c>
      <c r="F186" s="277">
        <f>L186*5.8/100+L186+113619.28</f>
        <v>238708.20699999999</v>
      </c>
      <c r="G186" s="277">
        <v>106517.5</v>
      </c>
      <c r="H186" s="277">
        <f t="shared" si="53"/>
        <v>242766.24651900001</v>
      </c>
      <c r="I186" s="275">
        <v>106517.5</v>
      </c>
      <c r="J186" s="2">
        <v>257332.22131014001</v>
      </c>
      <c r="K186" s="2">
        <f t="shared" si="39"/>
        <v>193557.51428571431</v>
      </c>
      <c r="L186" s="184">
        <f t="shared" si="54"/>
        <v>118231.5</v>
      </c>
    </row>
    <row r="187" spans="1:12">
      <c r="A187">
        <v>275</v>
      </c>
      <c r="B187">
        <v>16</v>
      </c>
      <c r="C187" t="s">
        <v>27</v>
      </c>
      <c r="D187" s="277">
        <v>38053.68</v>
      </c>
      <c r="E187" s="277">
        <v>27963.88</v>
      </c>
      <c r="F187" s="277">
        <f t="shared" si="55"/>
        <v>44378.677559999996</v>
      </c>
      <c r="G187" s="277">
        <v>22989.9</v>
      </c>
      <c r="H187" s="277">
        <f t="shared" si="53"/>
        <v>45133.115078519993</v>
      </c>
      <c r="I187" s="275">
        <v>22989.9</v>
      </c>
      <c r="J187" s="2">
        <v>47841.101983231194</v>
      </c>
      <c r="K187" s="2">
        <f t="shared" si="39"/>
        <v>41775.932571428581</v>
      </c>
      <c r="L187" s="184">
        <f t="shared" si="54"/>
        <v>41945.82</v>
      </c>
    </row>
    <row r="188" spans="1:12">
      <c r="A188">
        <v>275</v>
      </c>
      <c r="B188">
        <v>17</v>
      </c>
      <c r="C188" t="s">
        <v>29</v>
      </c>
      <c r="D188" s="277">
        <v>40800.400000000001</v>
      </c>
      <c r="E188" s="277">
        <v>29162.2</v>
      </c>
      <c r="F188" s="277">
        <f t="shared" si="55"/>
        <v>46280.411400000005</v>
      </c>
      <c r="G188" s="277">
        <v>20024</v>
      </c>
      <c r="H188" s="277">
        <f t="shared" si="53"/>
        <v>47067.178393800008</v>
      </c>
      <c r="I188" s="275">
        <v>20024</v>
      </c>
      <c r="J188" s="2">
        <v>49891.209097428007</v>
      </c>
      <c r="K188" s="2">
        <f t="shared" si="39"/>
        <v>36386.468571428573</v>
      </c>
      <c r="L188" s="184">
        <f t="shared" si="54"/>
        <v>43743.3</v>
      </c>
    </row>
    <row r="189" spans="1:12">
      <c r="A189">
        <v>275</v>
      </c>
      <c r="B189">
        <v>18</v>
      </c>
      <c r="C189" t="s">
        <v>31</v>
      </c>
      <c r="D189" s="277">
        <v>210070.92</v>
      </c>
      <c r="E189" s="277">
        <v>190859.63</v>
      </c>
      <c r="F189" s="277">
        <f t="shared" si="55"/>
        <v>302894.23281000002</v>
      </c>
      <c r="G189" s="277">
        <v>153970.31</v>
      </c>
      <c r="H189" s="277">
        <f t="shared" si="53"/>
        <v>308043.43476777</v>
      </c>
      <c r="I189" s="275">
        <v>153970.31</v>
      </c>
      <c r="J189" s="2">
        <v>326526.04085383622</v>
      </c>
      <c r="K189" s="2">
        <f t="shared" si="39"/>
        <v>279786.04902857146</v>
      </c>
      <c r="L189" s="184">
        <f t="shared" si="54"/>
        <v>286289.44500000001</v>
      </c>
    </row>
    <row r="190" spans="1:12">
      <c r="A190">
        <v>275</v>
      </c>
      <c r="B190">
        <v>102</v>
      </c>
      <c r="C190" t="s">
        <v>66</v>
      </c>
      <c r="D190" s="277">
        <v>43927.96</v>
      </c>
      <c r="E190" s="277">
        <v>32495.93</v>
      </c>
      <c r="F190" s="277">
        <f t="shared" si="55"/>
        <v>51571.040910000003</v>
      </c>
      <c r="G190" s="277">
        <v>26969.77</v>
      </c>
      <c r="H190" s="277">
        <f t="shared" si="53"/>
        <v>52447.748605470006</v>
      </c>
      <c r="I190" s="275">
        <v>26969.77</v>
      </c>
      <c r="J190" s="2">
        <v>55594.613521798208</v>
      </c>
      <c r="K190" s="2">
        <f t="shared" si="39"/>
        <v>49007.924914285715</v>
      </c>
      <c r="L190" s="184">
        <f t="shared" si="54"/>
        <v>48743.895000000004</v>
      </c>
    </row>
    <row r="191" spans="1:12">
      <c r="A191">
        <v>275</v>
      </c>
      <c r="B191">
        <v>104</v>
      </c>
      <c r="C191" t="s">
        <v>34</v>
      </c>
      <c r="D191" s="277">
        <v>2952.44</v>
      </c>
      <c r="E191" s="277">
        <v>2150.7800000000002</v>
      </c>
      <c r="F191" s="277">
        <f t="shared" si="55"/>
        <v>3413.2878599999999</v>
      </c>
      <c r="G191" s="277">
        <v>1701.15</v>
      </c>
      <c r="H191" s="277">
        <f t="shared" si="53"/>
        <v>3471.3137536199997</v>
      </c>
      <c r="I191" s="275">
        <v>1701.15</v>
      </c>
      <c r="J191" s="2">
        <v>3679.5925788371997</v>
      </c>
      <c r="K191" s="2">
        <f t="shared" si="39"/>
        <v>3091.2325714285716</v>
      </c>
      <c r="L191" s="184">
        <f t="shared" si="54"/>
        <v>3226.17</v>
      </c>
    </row>
    <row r="192" spans="1:12" ht="15.75" thickBot="1">
      <c r="D192" s="278">
        <f t="shared" ref="D192:I192" si="56">SUM(D178:D191)</f>
        <v>5239206.9800000004</v>
      </c>
      <c r="E192" s="278">
        <f t="shared" si="56"/>
        <v>3872093.1399999997</v>
      </c>
      <c r="F192" s="278">
        <f t="shared" si="56"/>
        <v>6298631.0931799999</v>
      </c>
      <c r="G192" s="278">
        <f t="shared" si="56"/>
        <v>3199383.0999999996</v>
      </c>
      <c r="H192" s="278">
        <f t="shared" si="56"/>
        <v>6465707.8217640594</v>
      </c>
      <c r="I192" s="276">
        <f t="shared" si="56"/>
        <v>3199383.0999999996</v>
      </c>
      <c r="J192" s="4">
        <v>6853650.2910699043</v>
      </c>
      <c r="K192" s="2"/>
    </row>
    <row r="193" spans="1:12" ht="15.75" thickTop="1">
      <c r="D193" s="277"/>
      <c r="E193" s="277"/>
      <c r="F193" s="159"/>
      <c r="G193" s="159"/>
      <c r="H193" s="159"/>
      <c r="I193" s="243"/>
      <c r="K193" s="2"/>
    </row>
    <row r="194" spans="1:12">
      <c r="A194">
        <v>281</v>
      </c>
      <c r="B194">
        <v>1</v>
      </c>
      <c r="C194" t="s">
        <v>16</v>
      </c>
      <c r="D194" s="277">
        <v>1621621.1</v>
      </c>
      <c r="E194" s="277">
        <v>1144079.99</v>
      </c>
      <c r="F194" s="277">
        <f>L194*5.8/100+L194+2000000</f>
        <v>3815654.9441299997</v>
      </c>
      <c r="G194" s="277">
        <v>2012529.56</v>
      </c>
      <c r="H194" s="277">
        <f>F194*1.7/100+F194</f>
        <v>3880521.0781802097</v>
      </c>
      <c r="I194" s="275">
        <v>2226029.56</v>
      </c>
      <c r="J194" s="2">
        <v>4113352.3428710224</v>
      </c>
      <c r="K194" s="2">
        <f t="shared" si="39"/>
        <v>4045013.7147428575</v>
      </c>
      <c r="L194" s="184">
        <f>E194/8*12</f>
        <v>1716119.9849999999</v>
      </c>
    </row>
    <row r="195" spans="1:12">
      <c r="A195">
        <v>281</v>
      </c>
      <c r="B195">
        <v>4</v>
      </c>
      <c r="C195" t="s">
        <v>58</v>
      </c>
      <c r="D195" s="277">
        <v>35449.33</v>
      </c>
      <c r="E195" s="277">
        <v>0</v>
      </c>
      <c r="F195" s="277">
        <f t="shared" ref="F195:F205" si="57">L195*5.8/100+L195</f>
        <v>0</v>
      </c>
      <c r="G195" s="277">
        <v>0</v>
      </c>
      <c r="H195" s="277">
        <f t="shared" ref="H195:H205" si="58">F195*1.7/100+F195</f>
        <v>0</v>
      </c>
      <c r="I195" s="275"/>
      <c r="J195" s="2">
        <v>0</v>
      </c>
      <c r="K195" s="2">
        <f t="shared" si="39"/>
        <v>0</v>
      </c>
      <c r="L195" s="184">
        <f t="shared" ref="L195:L205" si="59">E195/8*12</f>
        <v>0</v>
      </c>
    </row>
    <row r="196" spans="1:12">
      <c r="A196">
        <v>281</v>
      </c>
      <c r="B196">
        <v>6</v>
      </c>
      <c r="C196" t="s">
        <v>19</v>
      </c>
      <c r="D196" s="277">
        <v>123708</v>
      </c>
      <c r="E196" s="277">
        <v>88263.6</v>
      </c>
      <c r="F196" s="277">
        <f t="shared" si="57"/>
        <v>140074.33320000002</v>
      </c>
      <c r="G196" s="277">
        <v>57173.4</v>
      </c>
      <c r="H196" s="277">
        <f t="shared" si="58"/>
        <v>142455.59686440002</v>
      </c>
      <c r="I196" s="275">
        <v>57173.4</v>
      </c>
      <c r="J196" s="2">
        <v>151002.93267626403</v>
      </c>
      <c r="K196" s="2">
        <f t="shared" ref="K196:K251" si="60">I196/7*12*1.06</f>
        <v>103892.23542857144</v>
      </c>
      <c r="L196" s="184">
        <f t="shared" si="59"/>
        <v>132395.40000000002</v>
      </c>
    </row>
    <row r="197" spans="1:12">
      <c r="A197">
        <v>281</v>
      </c>
      <c r="B197">
        <v>8</v>
      </c>
      <c r="C197" t="s">
        <v>173</v>
      </c>
      <c r="D197" s="277">
        <v>146427.38</v>
      </c>
      <c r="E197" s="277">
        <v>109299.14</v>
      </c>
      <c r="F197" s="277">
        <f t="shared" si="57"/>
        <v>173457.73517999999</v>
      </c>
      <c r="G197" s="277">
        <v>85823.47</v>
      </c>
      <c r="H197" s="277">
        <f t="shared" si="58"/>
        <v>176406.51667806</v>
      </c>
      <c r="I197" s="275">
        <v>85823.47</v>
      </c>
      <c r="J197" s="2">
        <v>186990.90767874359</v>
      </c>
      <c r="K197" s="2">
        <f t="shared" si="60"/>
        <v>155953.5054857143</v>
      </c>
      <c r="L197" s="184">
        <f t="shared" si="59"/>
        <v>163948.71</v>
      </c>
    </row>
    <row r="198" spans="1:12">
      <c r="A198">
        <v>281</v>
      </c>
      <c r="B198">
        <v>10</v>
      </c>
      <c r="C198" t="s">
        <v>22</v>
      </c>
      <c r="D198" s="277">
        <v>427918.8</v>
      </c>
      <c r="E198" s="277">
        <v>237844.98</v>
      </c>
      <c r="F198" s="277">
        <f>L198*5.8/100+L198+600000</f>
        <v>977459.98326000001</v>
      </c>
      <c r="G198" s="277">
        <v>179671.92</v>
      </c>
      <c r="H198" s="277">
        <v>694076.8</v>
      </c>
      <c r="I198" s="275">
        <v>179671.92</v>
      </c>
      <c r="J198" s="2">
        <v>735721.40800000005</v>
      </c>
      <c r="K198" s="2">
        <f t="shared" si="60"/>
        <v>326489.54605714296</v>
      </c>
      <c r="L198" s="184">
        <f t="shared" si="59"/>
        <v>356767.47000000003</v>
      </c>
    </row>
    <row r="199" spans="1:12">
      <c r="A199">
        <v>281</v>
      </c>
      <c r="B199">
        <v>13</v>
      </c>
      <c r="C199" t="s">
        <v>273</v>
      </c>
      <c r="D199" s="277">
        <v>176163.7</v>
      </c>
      <c r="E199" s="277">
        <v>136072.9</v>
      </c>
      <c r="F199" s="277">
        <f>L199*5.8/100+L199+200000</f>
        <v>415947.6923</v>
      </c>
      <c r="G199" s="277">
        <v>94565.7</v>
      </c>
      <c r="H199" s="277">
        <f t="shared" si="58"/>
        <v>423018.80306910002</v>
      </c>
      <c r="I199" s="275">
        <v>94565.7</v>
      </c>
      <c r="J199" s="2">
        <v>448399.93125324603</v>
      </c>
      <c r="K199" s="2">
        <f t="shared" si="60"/>
        <v>171839.38628571428</v>
      </c>
      <c r="L199" s="184">
        <f t="shared" si="59"/>
        <v>204109.34999999998</v>
      </c>
    </row>
    <row r="200" spans="1:12">
      <c r="A200">
        <v>281</v>
      </c>
      <c r="B200">
        <v>14</v>
      </c>
      <c r="C200" t="s">
        <v>25</v>
      </c>
      <c r="D200" s="277">
        <v>106173</v>
      </c>
      <c r="E200" s="277">
        <v>74863.5</v>
      </c>
      <c r="F200" s="277">
        <f>L200*5.8/100+L200+300000</f>
        <v>418808.37450000003</v>
      </c>
      <c r="G200" s="277">
        <v>54442.5</v>
      </c>
      <c r="H200" s="277">
        <f t="shared" si="58"/>
        <v>425928.11686650006</v>
      </c>
      <c r="I200" s="275">
        <v>54442.5</v>
      </c>
      <c r="J200" s="2">
        <v>451483.80387849006</v>
      </c>
      <c r="K200" s="2">
        <f t="shared" si="60"/>
        <v>98929.8</v>
      </c>
      <c r="L200" s="184">
        <f t="shared" si="59"/>
        <v>112295.25</v>
      </c>
    </row>
    <row r="201" spans="1:12">
      <c r="A201">
        <v>281</v>
      </c>
      <c r="B201">
        <v>16</v>
      </c>
      <c r="C201" t="s">
        <v>27</v>
      </c>
      <c r="D201" s="277">
        <v>16755.439999999999</v>
      </c>
      <c r="E201" s="277">
        <v>11777.71</v>
      </c>
      <c r="F201" s="277">
        <f t="shared" si="57"/>
        <v>18691.225769999997</v>
      </c>
      <c r="G201" s="277">
        <v>8551.2099999999991</v>
      </c>
      <c r="H201" s="277">
        <f t="shared" si="58"/>
        <v>19008.976608089997</v>
      </c>
      <c r="I201" s="275">
        <v>8551.2099999999991</v>
      </c>
      <c r="J201" s="2">
        <v>20149.515204575397</v>
      </c>
      <c r="K201" s="2">
        <f t="shared" si="60"/>
        <v>15538.77017142857</v>
      </c>
      <c r="L201" s="184">
        <f t="shared" si="59"/>
        <v>17666.564999999999</v>
      </c>
    </row>
    <row r="202" spans="1:12">
      <c r="A202">
        <v>281</v>
      </c>
      <c r="B202">
        <v>17</v>
      </c>
      <c r="C202" t="s">
        <v>29</v>
      </c>
      <c r="D202" s="277">
        <v>14354.37</v>
      </c>
      <c r="E202" s="277">
        <v>14033.6</v>
      </c>
      <c r="F202" s="277">
        <f>L202*5.8/100+L202+20000</f>
        <v>42271.323199999999</v>
      </c>
      <c r="G202" s="277">
        <v>10024</v>
      </c>
      <c r="H202" s="277">
        <f t="shared" si="58"/>
        <v>42989.935694399996</v>
      </c>
      <c r="I202" s="275">
        <v>10024</v>
      </c>
      <c r="J202" s="2">
        <v>45569.331836063997</v>
      </c>
      <c r="K202" s="2">
        <f t="shared" si="60"/>
        <v>18215.04</v>
      </c>
      <c r="L202" s="184">
        <f t="shared" si="59"/>
        <v>21050.400000000001</v>
      </c>
    </row>
    <row r="203" spans="1:12">
      <c r="A203">
        <v>281</v>
      </c>
      <c r="B203">
        <v>18</v>
      </c>
      <c r="C203" t="s">
        <v>31</v>
      </c>
      <c r="D203" s="277">
        <v>134657.51999999999</v>
      </c>
      <c r="E203" s="277">
        <v>108177.92</v>
      </c>
      <c r="F203" s="277">
        <f>L203*5.8/100+L203+200000</f>
        <v>371678.35904000001</v>
      </c>
      <c r="G203" s="277">
        <v>95172.99</v>
      </c>
      <c r="H203" s="277">
        <f t="shared" si="58"/>
        <v>377996.89114368003</v>
      </c>
      <c r="I203" s="275">
        <v>95172.99</v>
      </c>
      <c r="J203" s="2">
        <v>400676.70461230085</v>
      </c>
      <c r="K203" s="2">
        <f t="shared" si="60"/>
        <v>172942.91897142859</v>
      </c>
      <c r="L203" s="184">
        <f t="shared" si="59"/>
        <v>162266.88</v>
      </c>
    </row>
    <row r="204" spans="1:12">
      <c r="A204">
        <v>281</v>
      </c>
      <c r="B204">
        <v>102</v>
      </c>
      <c r="C204" t="s">
        <v>66</v>
      </c>
      <c r="D204" s="277">
        <v>22060.16</v>
      </c>
      <c r="E204" s="277">
        <v>15762.18</v>
      </c>
      <c r="F204" s="277">
        <f t="shared" si="57"/>
        <v>25014.579659999999</v>
      </c>
      <c r="G204" s="277">
        <v>11969.84</v>
      </c>
      <c r="H204" s="277">
        <f t="shared" si="58"/>
        <v>25439.82751422</v>
      </c>
      <c r="I204" s="275">
        <v>11969.84</v>
      </c>
      <c r="J204" s="2">
        <v>26966.217165073202</v>
      </c>
      <c r="K204" s="2">
        <f t="shared" si="60"/>
        <v>21750.909257142855</v>
      </c>
      <c r="L204" s="184">
        <f t="shared" si="59"/>
        <v>23643.27</v>
      </c>
    </row>
    <row r="205" spans="1:12">
      <c r="A205">
        <v>281</v>
      </c>
      <c r="B205">
        <v>104</v>
      </c>
      <c r="C205" t="s">
        <v>34</v>
      </c>
      <c r="D205" s="277">
        <v>949.2</v>
      </c>
      <c r="E205" s="277">
        <v>664.44</v>
      </c>
      <c r="F205" s="277">
        <f t="shared" si="57"/>
        <v>1054.4662800000001</v>
      </c>
      <c r="G205" s="277">
        <v>478.5</v>
      </c>
      <c r="H205" s="277">
        <f t="shared" si="58"/>
        <v>1072.3922067600001</v>
      </c>
      <c r="I205" s="275">
        <v>478.5</v>
      </c>
      <c r="J205" s="2">
        <v>1136.7357391656001</v>
      </c>
      <c r="K205" s="2">
        <f t="shared" si="60"/>
        <v>869.50285714285724</v>
      </c>
      <c r="L205" s="184">
        <f t="shared" si="59"/>
        <v>996.66000000000008</v>
      </c>
    </row>
    <row r="206" spans="1:12" ht="15.75" thickBot="1">
      <c r="D206" s="278">
        <f t="shared" ref="D206:I206" si="61">SUM(D194:D205)</f>
        <v>2826238.0000000005</v>
      </c>
      <c r="E206" s="278">
        <f t="shared" si="61"/>
        <v>1940839.9599999997</v>
      </c>
      <c r="F206" s="278">
        <f t="shared" si="61"/>
        <v>6400113.016520001</v>
      </c>
      <c r="G206" s="278">
        <f t="shared" si="61"/>
        <v>2610403.0900000003</v>
      </c>
      <c r="H206" s="278">
        <f t="shared" si="61"/>
        <v>6208914.9348254194</v>
      </c>
      <c r="I206" s="276">
        <f t="shared" si="61"/>
        <v>2823903.0900000003</v>
      </c>
      <c r="J206" s="4">
        <v>6581449.8309149463</v>
      </c>
      <c r="K206" s="2"/>
    </row>
    <row r="207" spans="1:12" ht="15.75" thickTop="1">
      <c r="D207" s="277"/>
      <c r="E207" s="277"/>
      <c r="F207" s="159"/>
      <c r="G207" s="159"/>
      <c r="H207" s="159"/>
      <c r="I207" s="243"/>
      <c r="K207" s="2"/>
    </row>
    <row r="208" spans="1:12">
      <c r="A208">
        <v>290</v>
      </c>
      <c r="B208">
        <v>1</v>
      </c>
      <c r="C208" t="s">
        <v>16</v>
      </c>
      <c r="D208" s="277">
        <v>1894556.12</v>
      </c>
      <c r="E208" s="277">
        <v>1357881.86</v>
      </c>
      <c r="F208" s="277">
        <f>L208*5.8/100+L208</f>
        <v>2154958.5118200001</v>
      </c>
      <c r="G208" s="277">
        <v>974808.5</v>
      </c>
      <c r="H208" s="277">
        <f>F208*1.5/100+F208</f>
        <v>2187282.8894973001</v>
      </c>
      <c r="I208" s="275">
        <v>968793.97</v>
      </c>
      <c r="J208" s="2">
        <v>2318519.8628671383</v>
      </c>
      <c r="K208" s="2">
        <f t="shared" si="60"/>
        <v>1760437.0426285714</v>
      </c>
      <c r="L208" s="184">
        <f>E208/8*12</f>
        <v>2036822.79</v>
      </c>
    </row>
    <row r="209" spans="1:12">
      <c r="A209">
        <v>290</v>
      </c>
      <c r="B209">
        <v>3</v>
      </c>
      <c r="C209" t="s">
        <v>56</v>
      </c>
      <c r="D209" s="277">
        <v>13104.06</v>
      </c>
      <c r="E209" s="277">
        <v>9232.0300000000007</v>
      </c>
      <c r="F209" s="277">
        <f>L209*5.8/100+L209+20000</f>
        <v>34651.231610000003</v>
      </c>
      <c r="G209" s="277">
        <v>7630</v>
      </c>
      <c r="H209" s="277">
        <f t="shared" ref="H209:H221" si="62">F209*1.5/100+F209</f>
        <v>35171.00008415</v>
      </c>
      <c r="I209" s="275">
        <v>7630</v>
      </c>
      <c r="J209" s="2">
        <v>37281.260089199001</v>
      </c>
      <c r="K209" s="2">
        <f t="shared" si="60"/>
        <v>13864.800000000001</v>
      </c>
      <c r="L209" s="184">
        <f t="shared" ref="L209:L221" si="63">E209/8*12</f>
        <v>13848.045000000002</v>
      </c>
    </row>
    <row r="210" spans="1:12">
      <c r="A210">
        <v>290</v>
      </c>
      <c r="B210">
        <v>4</v>
      </c>
      <c r="C210" t="s">
        <v>58</v>
      </c>
      <c r="D210" s="277">
        <v>7206.58</v>
      </c>
      <c r="E210" s="277">
        <v>4953.6499999999996</v>
      </c>
      <c r="F210" s="277">
        <f t="shared" ref="F210:F221" si="64">L210*5.8/100+L210</f>
        <v>7861.4425499999998</v>
      </c>
      <c r="G210" s="277">
        <v>3540.18</v>
      </c>
      <c r="H210" s="277">
        <f t="shared" si="62"/>
        <v>7979.3641882499996</v>
      </c>
      <c r="I210" s="275">
        <v>3540.18</v>
      </c>
      <c r="J210" s="2">
        <v>8458.126039544999</v>
      </c>
      <c r="K210" s="2">
        <f t="shared" si="60"/>
        <v>6433.0127999999995</v>
      </c>
      <c r="L210" s="184">
        <f t="shared" si="63"/>
        <v>7430.4749999999995</v>
      </c>
    </row>
    <row r="211" spans="1:12">
      <c r="A211">
        <v>290</v>
      </c>
      <c r="B211">
        <v>6</v>
      </c>
      <c r="C211" t="s">
        <v>19</v>
      </c>
      <c r="D211" s="277">
        <v>159970.82</v>
      </c>
      <c r="E211" s="277">
        <v>107579.18</v>
      </c>
      <c r="F211" s="277">
        <f t="shared" si="64"/>
        <v>170728.15865999999</v>
      </c>
      <c r="G211" s="277">
        <v>66819.199999999997</v>
      </c>
      <c r="H211" s="277">
        <f t="shared" si="62"/>
        <v>173289.08103989999</v>
      </c>
      <c r="I211" s="275">
        <v>66819.199999999997</v>
      </c>
      <c r="J211" s="2">
        <v>183686.425902294</v>
      </c>
      <c r="K211" s="2">
        <f t="shared" si="60"/>
        <v>121420.03200000002</v>
      </c>
      <c r="L211" s="184">
        <f t="shared" si="63"/>
        <v>161368.76999999999</v>
      </c>
    </row>
    <row r="212" spans="1:12">
      <c r="A212">
        <v>290</v>
      </c>
      <c r="B212">
        <v>8</v>
      </c>
      <c r="C212" t="s">
        <v>173</v>
      </c>
      <c r="D212" s="277">
        <v>408222.94</v>
      </c>
      <c r="E212" s="277">
        <v>288798.02</v>
      </c>
      <c r="F212" s="277">
        <f>L212*5.8/100+L212-207690.62</f>
        <v>250631.83774000005</v>
      </c>
      <c r="G212" s="277">
        <v>179852.29</v>
      </c>
      <c r="H212" s="277">
        <f t="shared" si="62"/>
        <v>254391.31530610003</v>
      </c>
      <c r="I212" s="275">
        <v>179852.29</v>
      </c>
      <c r="J212" s="2">
        <v>269654.79422446602</v>
      </c>
      <c r="K212" s="2">
        <f t="shared" si="60"/>
        <v>326817.30411428574</v>
      </c>
      <c r="L212" s="184">
        <f t="shared" si="63"/>
        <v>433197.03</v>
      </c>
    </row>
    <row r="213" spans="1:12">
      <c r="A213">
        <v>290</v>
      </c>
      <c r="B213">
        <v>10</v>
      </c>
      <c r="C213" t="s">
        <v>22</v>
      </c>
      <c r="D213" s="277">
        <v>347972.68</v>
      </c>
      <c r="E213" s="277">
        <v>243600.82</v>
      </c>
      <c r="F213" s="277">
        <f>L213*5.8/100+L213+300000</f>
        <v>686594.50133999996</v>
      </c>
      <c r="G213" s="277">
        <v>167788.62</v>
      </c>
      <c r="H213" s="277">
        <f t="shared" si="62"/>
        <v>696893.41886009998</v>
      </c>
      <c r="I213" s="275">
        <v>167788.62</v>
      </c>
      <c r="J213" s="2">
        <v>738707.02399170597</v>
      </c>
      <c r="K213" s="2">
        <f t="shared" si="60"/>
        <v>304895.89234285714</v>
      </c>
      <c r="L213" s="184">
        <f t="shared" si="63"/>
        <v>365401.23</v>
      </c>
    </row>
    <row r="214" spans="1:12">
      <c r="A214">
        <v>290</v>
      </c>
      <c r="B214">
        <v>11</v>
      </c>
      <c r="C214" t="s">
        <v>24</v>
      </c>
      <c r="D214" s="277">
        <v>0</v>
      </c>
      <c r="E214" s="277">
        <v>26146.75</v>
      </c>
      <c r="F214" s="277">
        <f t="shared" si="64"/>
        <v>41494.892249999997</v>
      </c>
      <c r="G214" s="277">
        <v>15688.05</v>
      </c>
      <c r="H214" s="277">
        <f t="shared" si="62"/>
        <v>42117.315633749997</v>
      </c>
      <c r="I214" s="275">
        <v>15688.05</v>
      </c>
      <c r="J214" s="2">
        <v>44644.354571774995</v>
      </c>
      <c r="K214" s="2">
        <f t="shared" si="60"/>
        <v>28507.428000000004</v>
      </c>
      <c r="L214" s="184">
        <f t="shared" si="63"/>
        <v>39220.125</v>
      </c>
    </row>
    <row r="215" spans="1:12">
      <c r="A215">
        <v>290</v>
      </c>
      <c r="B215">
        <v>13</v>
      </c>
      <c r="C215" t="s">
        <v>273</v>
      </c>
      <c r="D215" s="277">
        <v>175844</v>
      </c>
      <c r="E215" s="277">
        <v>123409.59</v>
      </c>
      <c r="F215" s="277">
        <f t="shared" si="64"/>
        <v>195851.01933000001</v>
      </c>
      <c r="G215" s="277">
        <v>9900.65</v>
      </c>
      <c r="H215" s="277">
        <f t="shared" si="62"/>
        <v>198788.78461995002</v>
      </c>
      <c r="I215" s="275">
        <v>99500.65</v>
      </c>
      <c r="J215" s="2">
        <v>210716.11169714702</v>
      </c>
      <c r="K215" s="2">
        <f t="shared" si="60"/>
        <v>180806.89542857144</v>
      </c>
      <c r="L215" s="184">
        <f t="shared" si="63"/>
        <v>185114.38500000001</v>
      </c>
    </row>
    <row r="216" spans="1:12">
      <c r="A216">
        <v>290</v>
      </c>
      <c r="B216">
        <v>14</v>
      </c>
      <c r="C216" t="s">
        <v>25</v>
      </c>
      <c r="D216" s="277">
        <v>187322.5</v>
      </c>
      <c r="E216" s="277">
        <v>127824.25</v>
      </c>
      <c r="F216" s="277">
        <f>L216*5.8/100+L216+200000</f>
        <v>402857.08475000004</v>
      </c>
      <c r="G216" s="277">
        <v>85407.5</v>
      </c>
      <c r="H216" s="277">
        <f t="shared" si="62"/>
        <v>408899.94102125004</v>
      </c>
      <c r="I216" s="275">
        <v>85407.5</v>
      </c>
      <c r="J216" s="2">
        <v>433433.93748252501</v>
      </c>
      <c r="K216" s="2">
        <f t="shared" si="60"/>
        <v>155197.62857142859</v>
      </c>
      <c r="L216" s="184">
        <f t="shared" si="63"/>
        <v>191736.375</v>
      </c>
    </row>
    <row r="217" spans="1:12">
      <c r="A217">
        <v>290</v>
      </c>
      <c r="B217">
        <v>16</v>
      </c>
      <c r="C217" t="s">
        <v>27</v>
      </c>
      <c r="D217" s="277">
        <v>22554.84</v>
      </c>
      <c r="E217" s="277">
        <v>15750.95</v>
      </c>
      <c r="F217" s="277">
        <f t="shared" si="64"/>
        <v>24996.757650000003</v>
      </c>
      <c r="G217" s="277">
        <v>10711.42</v>
      </c>
      <c r="H217" s="277">
        <f t="shared" si="62"/>
        <v>25371.709014750002</v>
      </c>
      <c r="I217" s="275">
        <v>10711.42</v>
      </c>
      <c r="J217" s="2">
        <v>26894.011555635003</v>
      </c>
      <c r="K217" s="2">
        <f t="shared" si="60"/>
        <v>19464.18034285714</v>
      </c>
      <c r="L217" s="184">
        <f t="shared" si="63"/>
        <v>23626.425000000003</v>
      </c>
    </row>
    <row r="218" spans="1:12">
      <c r="A218">
        <v>290</v>
      </c>
      <c r="B218">
        <v>17</v>
      </c>
      <c r="C218" t="s">
        <v>29</v>
      </c>
      <c r="D218" s="277">
        <v>35362.800000000003</v>
      </c>
      <c r="E218" s="277">
        <v>24453</v>
      </c>
      <c r="F218" s="277">
        <f>L218*5.8/100+L218+20000</f>
        <v>58806.911</v>
      </c>
      <c r="G218" s="277">
        <v>16552.8</v>
      </c>
      <c r="H218" s="277">
        <f t="shared" si="62"/>
        <v>59689.014665000002</v>
      </c>
      <c r="I218" s="275">
        <v>16552.8</v>
      </c>
      <c r="J218" s="2">
        <v>63270.355544900005</v>
      </c>
      <c r="K218" s="2">
        <f t="shared" si="60"/>
        <v>30078.802285714286</v>
      </c>
      <c r="L218" s="184">
        <f t="shared" si="63"/>
        <v>36679.5</v>
      </c>
    </row>
    <row r="219" spans="1:12">
      <c r="A219">
        <v>290</v>
      </c>
      <c r="B219">
        <v>18</v>
      </c>
      <c r="C219" t="s">
        <v>31</v>
      </c>
      <c r="D219" s="277">
        <v>131596.22</v>
      </c>
      <c r="E219" s="277">
        <v>118081.93</v>
      </c>
      <c r="F219" s="277">
        <f>L219*5.8/100+L219+124784.96</f>
        <v>312180.98291000002</v>
      </c>
      <c r="G219" s="277">
        <v>100966.81</v>
      </c>
      <c r="H219" s="277">
        <f t="shared" si="62"/>
        <v>316863.69765365002</v>
      </c>
      <c r="I219" s="275">
        <v>100966.81</v>
      </c>
      <c r="J219" s="2">
        <v>335875.51951286901</v>
      </c>
      <c r="K219" s="2">
        <f t="shared" si="60"/>
        <v>183471.1176</v>
      </c>
      <c r="L219" s="184">
        <f t="shared" si="63"/>
        <v>177122.89499999999</v>
      </c>
    </row>
    <row r="220" spans="1:12">
      <c r="A220">
        <v>290</v>
      </c>
      <c r="B220">
        <v>102</v>
      </c>
      <c r="C220" t="s">
        <v>66</v>
      </c>
      <c r="D220" s="277">
        <v>28503.759999999998</v>
      </c>
      <c r="E220" s="277">
        <v>20746.03</v>
      </c>
      <c r="F220" s="277">
        <f t="shared" si="64"/>
        <v>32923.949609999996</v>
      </c>
      <c r="G220" s="277">
        <v>14505.61</v>
      </c>
      <c r="H220" s="277">
        <f t="shared" si="62"/>
        <v>33417.808854149996</v>
      </c>
      <c r="I220" s="275">
        <v>14505.61</v>
      </c>
      <c r="J220" s="2">
        <v>35422.877385398999</v>
      </c>
      <c r="K220" s="2">
        <f t="shared" si="60"/>
        <v>26358.765600000002</v>
      </c>
      <c r="L220" s="184">
        <f t="shared" si="63"/>
        <v>31119.044999999998</v>
      </c>
    </row>
    <row r="221" spans="1:12">
      <c r="A221">
        <v>290</v>
      </c>
      <c r="B221">
        <v>104</v>
      </c>
      <c r="C221" t="s">
        <v>34</v>
      </c>
      <c r="D221" s="277">
        <v>1193.28</v>
      </c>
      <c r="E221" s="277">
        <v>827.16</v>
      </c>
      <c r="F221" s="277">
        <f t="shared" si="64"/>
        <v>1312.7029199999999</v>
      </c>
      <c r="G221" s="277">
        <v>536.5</v>
      </c>
      <c r="H221" s="277">
        <f t="shared" si="62"/>
        <v>1332.3934638000001</v>
      </c>
      <c r="I221" s="275">
        <v>536.5</v>
      </c>
      <c r="J221" s="2">
        <v>1412.3370716280001</v>
      </c>
      <c r="K221" s="2">
        <f t="shared" si="60"/>
        <v>974.89714285714285</v>
      </c>
      <c r="L221" s="184">
        <f t="shared" si="63"/>
        <v>1240.74</v>
      </c>
    </row>
    <row r="222" spans="1:12" ht="15.75" thickBot="1">
      <c r="D222" s="278">
        <f t="shared" ref="D222:I222" si="65">SUM(D208:D221)</f>
        <v>3413410.6</v>
      </c>
      <c r="E222" s="278">
        <f t="shared" si="65"/>
        <v>2469285.2200000002</v>
      </c>
      <c r="F222" s="278">
        <f t="shared" si="65"/>
        <v>4375849.9841399994</v>
      </c>
      <c r="G222" s="278">
        <f t="shared" si="65"/>
        <v>1654708.1300000001</v>
      </c>
      <c r="H222" s="278">
        <f t="shared" si="65"/>
        <v>4441487.7339021005</v>
      </c>
      <c r="I222" s="276">
        <f t="shared" si="65"/>
        <v>1738293.5999999999</v>
      </c>
      <c r="J222" s="4">
        <v>4707976.9979362274</v>
      </c>
      <c r="K222" s="2"/>
    </row>
    <row r="223" spans="1:12" ht="15.75" thickTop="1">
      <c r="D223" s="277"/>
      <c r="E223" s="277"/>
      <c r="F223" s="159"/>
      <c r="G223" s="159"/>
      <c r="H223" s="159"/>
      <c r="I223" s="243"/>
      <c r="K223" s="2"/>
    </row>
    <row r="224" spans="1:12">
      <c r="A224">
        <v>291</v>
      </c>
      <c r="B224">
        <v>1</v>
      </c>
      <c r="C224" t="s">
        <v>16</v>
      </c>
      <c r="D224" s="277">
        <v>4592668.5599999996</v>
      </c>
      <c r="E224" s="277">
        <v>3102460.92</v>
      </c>
      <c r="F224" s="277">
        <f>L224*5.8/100+L224</f>
        <v>4923605.4800399998</v>
      </c>
      <c r="G224" s="277">
        <v>2274015.35</v>
      </c>
      <c r="H224" s="277">
        <f>F224*1.5/100+F224</f>
        <v>4997459.5622405997</v>
      </c>
      <c r="I224" s="275">
        <v>2274015.35</v>
      </c>
      <c r="J224" s="2">
        <v>5297307.1359750358</v>
      </c>
      <c r="K224" s="2">
        <f t="shared" si="60"/>
        <v>4132210.7502857149</v>
      </c>
      <c r="L224" s="184">
        <f t="shared" ref="L224:L229" si="66">E224/8*12</f>
        <v>4653691.38</v>
      </c>
    </row>
    <row r="225" spans="1:12">
      <c r="A225">
        <v>291</v>
      </c>
      <c r="B225">
        <v>4</v>
      </c>
      <c r="C225" t="s">
        <v>58</v>
      </c>
      <c r="D225" s="277">
        <v>15289.38</v>
      </c>
      <c r="E225" s="277">
        <v>10165.17</v>
      </c>
      <c r="F225" s="277">
        <f t="shared" ref="F225:F235" si="67">L225*5.8/100+L225</f>
        <v>16132.124790000002</v>
      </c>
      <c r="G225" s="277">
        <v>6614.76</v>
      </c>
      <c r="H225" s="277">
        <f t="shared" ref="H225:H235" si="68">F225*1.5/100+F225</f>
        <v>16374.106661850001</v>
      </c>
      <c r="I225" s="275">
        <v>6614.76</v>
      </c>
      <c r="J225" s="2">
        <v>17356.553061561001</v>
      </c>
      <c r="K225" s="2">
        <f t="shared" si="60"/>
        <v>12019.963885714287</v>
      </c>
      <c r="L225" s="184">
        <f t="shared" si="66"/>
        <v>15247.755000000001</v>
      </c>
    </row>
    <row r="226" spans="1:12">
      <c r="A226">
        <v>291</v>
      </c>
      <c r="B226">
        <v>6</v>
      </c>
      <c r="C226" t="s">
        <v>19</v>
      </c>
      <c r="D226" s="277">
        <v>95852.64</v>
      </c>
      <c r="E226" s="277">
        <v>68835.72</v>
      </c>
      <c r="F226" s="277">
        <f t="shared" si="67"/>
        <v>109242.28764</v>
      </c>
      <c r="G226" s="277">
        <v>39399.599999999999</v>
      </c>
      <c r="H226" s="277">
        <f t="shared" si="68"/>
        <v>110880.92195459999</v>
      </c>
      <c r="I226" s="275">
        <v>39399.599999999999</v>
      </c>
      <c r="J226" s="2">
        <v>117533.777271876</v>
      </c>
      <c r="K226" s="2">
        <f t="shared" si="60"/>
        <v>71594.701714285722</v>
      </c>
      <c r="L226" s="184">
        <f t="shared" si="66"/>
        <v>103253.58</v>
      </c>
    </row>
    <row r="227" spans="1:12">
      <c r="A227">
        <v>291</v>
      </c>
      <c r="B227">
        <v>8</v>
      </c>
      <c r="C227" t="s">
        <v>173</v>
      </c>
      <c r="D227" s="277">
        <v>411103.18</v>
      </c>
      <c r="E227" s="277">
        <v>312440.95</v>
      </c>
      <c r="F227" s="277">
        <f>L227*5.8/100+L227-200000</f>
        <v>295843.78765000007</v>
      </c>
      <c r="G227" s="277">
        <v>239136.6</v>
      </c>
      <c r="H227" s="277">
        <v>500281.44</v>
      </c>
      <c r="I227" s="275">
        <v>239136.6</v>
      </c>
      <c r="J227" s="2">
        <v>530298.32640000002</v>
      </c>
      <c r="K227" s="2">
        <f t="shared" si="60"/>
        <v>434545.36457142857</v>
      </c>
      <c r="L227" s="184">
        <f t="shared" si="66"/>
        <v>468661.42500000005</v>
      </c>
    </row>
    <row r="228" spans="1:12">
      <c r="A228">
        <v>291</v>
      </c>
      <c r="B228">
        <v>10</v>
      </c>
      <c r="C228" t="s">
        <v>22</v>
      </c>
      <c r="D228" s="277">
        <v>818244.72</v>
      </c>
      <c r="E228" s="277">
        <v>557261.78</v>
      </c>
      <c r="F228" s="277">
        <f t="shared" si="67"/>
        <v>884374.44486000005</v>
      </c>
      <c r="G228" s="277">
        <v>380414.17</v>
      </c>
      <c r="H228" s="277">
        <f t="shared" si="68"/>
        <v>897640.06153290009</v>
      </c>
      <c r="I228" s="275">
        <v>380414.17</v>
      </c>
      <c r="J228" s="2">
        <v>951498.46522487409</v>
      </c>
      <c r="K228" s="2">
        <f t="shared" si="60"/>
        <v>691266.89177142864</v>
      </c>
      <c r="L228" s="184">
        <f t="shared" si="66"/>
        <v>835892.67</v>
      </c>
    </row>
    <row r="229" spans="1:12">
      <c r="A229">
        <v>291</v>
      </c>
      <c r="B229">
        <v>11</v>
      </c>
      <c r="C229" t="s">
        <v>24</v>
      </c>
      <c r="D229" s="277">
        <v>42297.599999999999</v>
      </c>
      <c r="E229" s="277">
        <v>29608.32</v>
      </c>
      <c r="F229" s="277">
        <f t="shared" si="67"/>
        <v>46988.403839999999</v>
      </c>
      <c r="G229" s="277">
        <v>71849.11</v>
      </c>
      <c r="H229" s="277">
        <f t="shared" si="68"/>
        <v>47693.229897600002</v>
      </c>
      <c r="I229" s="275">
        <v>71849.11</v>
      </c>
      <c r="J229" s="2">
        <v>50554.823691456004</v>
      </c>
      <c r="K229" s="2">
        <f t="shared" si="60"/>
        <v>130560.09702857144</v>
      </c>
      <c r="L229" s="184">
        <f t="shared" si="66"/>
        <v>44412.479999999996</v>
      </c>
    </row>
    <row r="230" spans="1:12">
      <c r="A230">
        <v>291</v>
      </c>
      <c r="B230">
        <v>13</v>
      </c>
      <c r="C230" t="s">
        <v>273</v>
      </c>
      <c r="D230" s="277">
        <v>136332.22</v>
      </c>
      <c r="E230" s="277">
        <v>116673.94</v>
      </c>
      <c r="F230" s="277">
        <f>L230*5.8/100+L230+288590.69</f>
        <v>473752.23278000002</v>
      </c>
      <c r="G230" s="277">
        <v>116973.24</v>
      </c>
      <c r="H230" s="277">
        <f t="shared" si="68"/>
        <v>480858.51627170003</v>
      </c>
      <c r="I230" s="275">
        <v>116973.24</v>
      </c>
      <c r="J230" s="2">
        <v>509710.02724800201</v>
      </c>
      <c r="K230" s="2">
        <f t="shared" si="60"/>
        <v>212557.08754285716</v>
      </c>
      <c r="L230" s="184">
        <f t="shared" ref="L230:L235" si="69">E230/8*12</f>
        <v>175010.91</v>
      </c>
    </row>
    <row r="231" spans="1:12">
      <c r="A231">
        <v>291</v>
      </c>
      <c r="B231">
        <v>16</v>
      </c>
      <c r="C231" t="s">
        <v>27</v>
      </c>
      <c r="D231" s="277">
        <v>49607.34</v>
      </c>
      <c r="E231" s="277">
        <v>34963.519999999997</v>
      </c>
      <c r="F231" s="277">
        <f t="shared" si="67"/>
        <v>55487.106240000001</v>
      </c>
      <c r="G231" s="277">
        <v>27578.85</v>
      </c>
      <c r="H231" s="277">
        <f t="shared" si="68"/>
        <v>56319.412833599999</v>
      </c>
      <c r="I231" s="275">
        <v>27578.85</v>
      </c>
      <c r="J231" s="2">
        <v>59698.577603616002</v>
      </c>
      <c r="K231" s="2">
        <f t="shared" si="60"/>
        <v>50114.710285714289</v>
      </c>
      <c r="L231" s="184">
        <f t="shared" si="69"/>
        <v>52445.279999999999</v>
      </c>
    </row>
    <row r="232" spans="1:12">
      <c r="A232">
        <v>291</v>
      </c>
      <c r="B232">
        <v>17</v>
      </c>
      <c r="C232" t="s">
        <v>29</v>
      </c>
      <c r="D232" s="277">
        <v>12038.4</v>
      </c>
      <c r="E232" s="277">
        <v>8276.4</v>
      </c>
      <c r="F232" s="277">
        <f>L232*5.8/100+L232+20000</f>
        <v>33134.646800000002</v>
      </c>
      <c r="G232" s="277">
        <v>7524</v>
      </c>
      <c r="H232" s="277">
        <f t="shared" si="68"/>
        <v>33631.666502</v>
      </c>
      <c r="I232" s="275">
        <v>7524</v>
      </c>
      <c r="J232" s="2">
        <v>35649.56649212</v>
      </c>
      <c r="K232" s="2">
        <f t="shared" si="60"/>
        <v>13672.182857142858</v>
      </c>
      <c r="L232" s="184">
        <f t="shared" si="69"/>
        <v>12414.599999999999</v>
      </c>
    </row>
    <row r="233" spans="1:12">
      <c r="A233">
        <v>291</v>
      </c>
      <c r="B233">
        <v>18</v>
      </c>
      <c r="C233" t="s">
        <v>31</v>
      </c>
      <c r="D233" s="277">
        <v>338037.64</v>
      </c>
      <c r="E233" s="277">
        <v>217120.42</v>
      </c>
      <c r="F233" s="277">
        <f t="shared" si="67"/>
        <v>344570.10654000001</v>
      </c>
      <c r="G233" s="277">
        <v>142807.67999999999</v>
      </c>
      <c r="H233" s="277">
        <f t="shared" si="68"/>
        <v>349738.6581381</v>
      </c>
      <c r="I233" s="275">
        <v>142807.67999999999</v>
      </c>
      <c r="J233" s="2">
        <v>370722.97762638598</v>
      </c>
      <c r="K233" s="2">
        <f t="shared" si="60"/>
        <v>259501.95565714288</v>
      </c>
      <c r="L233" s="184">
        <f t="shared" si="69"/>
        <v>325680.63</v>
      </c>
    </row>
    <row r="234" spans="1:12">
      <c r="A234">
        <v>291</v>
      </c>
      <c r="B234">
        <v>102</v>
      </c>
      <c r="C234" t="s">
        <v>66</v>
      </c>
      <c r="D234" s="277">
        <v>48395.6</v>
      </c>
      <c r="E234" s="277">
        <v>34092.400000000001</v>
      </c>
      <c r="F234" s="277">
        <f t="shared" si="67"/>
        <v>54104.638800000008</v>
      </c>
      <c r="G234" s="277">
        <v>27604.58</v>
      </c>
      <c r="H234" s="277">
        <f t="shared" si="68"/>
        <v>54916.208382000012</v>
      </c>
      <c r="I234" s="275">
        <v>27604.58</v>
      </c>
      <c r="J234" s="2">
        <v>58211.18088492001</v>
      </c>
      <c r="K234" s="2">
        <f t="shared" si="60"/>
        <v>50161.465371428574</v>
      </c>
      <c r="L234" s="184">
        <f t="shared" si="69"/>
        <v>51138.600000000006</v>
      </c>
    </row>
    <row r="235" spans="1:12">
      <c r="A235">
        <v>291</v>
      </c>
      <c r="B235">
        <v>104</v>
      </c>
      <c r="C235" t="s">
        <v>34</v>
      </c>
      <c r="D235" s="277">
        <v>4081.56</v>
      </c>
      <c r="E235" s="277">
        <v>2951.68</v>
      </c>
      <c r="F235" s="277">
        <f t="shared" si="67"/>
        <v>4684.3161599999994</v>
      </c>
      <c r="G235" s="277">
        <v>2596.15</v>
      </c>
      <c r="H235" s="277">
        <f t="shared" si="68"/>
        <v>4754.5809023999991</v>
      </c>
      <c r="I235" s="275">
        <v>2596.15</v>
      </c>
      <c r="J235" s="2">
        <v>5039.8557565439987</v>
      </c>
      <c r="K235" s="2">
        <f t="shared" si="60"/>
        <v>4717.5754285714293</v>
      </c>
      <c r="L235" s="184">
        <f t="shared" si="69"/>
        <v>4427.5199999999995</v>
      </c>
    </row>
    <row r="236" spans="1:12" ht="15.75" thickBot="1">
      <c r="D236" s="278">
        <f t="shared" ref="D236:I236" si="70">SUM(D224:D235)</f>
        <v>6563948.8399999971</v>
      </c>
      <c r="E236" s="278">
        <f t="shared" si="70"/>
        <v>4494851.22</v>
      </c>
      <c r="F236" s="278">
        <f t="shared" si="70"/>
        <v>7241919.5761399996</v>
      </c>
      <c r="G236" s="278">
        <f t="shared" si="70"/>
        <v>3336514.0900000003</v>
      </c>
      <c r="H236" s="278">
        <f t="shared" si="70"/>
        <v>7550548.3653173503</v>
      </c>
      <c r="I236" s="276">
        <f t="shared" si="70"/>
        <v>3336514.0900000003</v>
      </c>
      <c r="J236" s="4">
        <v>8003581.2672363892</v>
      </c>
      <c r="K236" s="2"/>
    </row>
    <row r="237" spans="1:12" ht="15.75" thickTop="1">
      <c r="D237" s="277"/>
      <c r="E237" s="277"/>
      <c r="F237" s="159"/>
      <c r="G237" s="159"/>
      <c r="H237" s="159"/>
      <c r="I237" s="243"/>
      <c r="K237" s="2"/>
    </row>
    <row r="238" spans="1:12">
      <c r="A238">
        <v>293</v>
      </c>
      <c r="B238">
        <v>1</v>
      </c>
      <c r="C238" t="s">
        <v>16</v>
      </c>
      <c r="D238" s="277">
        <v>4844484.5</v>
      </c>
      <c r="E238" s="277">
        <v>3297087.08</v>
      </c>
      <c r="F238" s="277">
        <f>L238*5.8/100+L238</f>
        <v>5232477.1959600002</v>
      </c>
      <c r="G238" s="277">
        <v>2341042.59</v>
      </c>
      <c r="H238" s="277">
        <f>F238*1.5/100+F238</f>
        <v>5310964.3538993997</v>
      </c>
      <c r="I238" s="275">
        <v>2319304.4700000002</v>
      </c>
      <c r="J238" s="2">
        <v>5629622.2151333634</v>
      </c>
      <c r="K238" s="2">
        <f t="shared" si="60"/>
        <v>4214507.5512000006</v>
      </c>
      <c r="L238" s="184">
        <f>E238/8*12</f>
        <v>4945630.62</v>
      </c>
    </row>
    <row r="239" spans="1:12">
      <c r="A239">
        <v>293</v>
      </c>
      <c r="B239">
        <v>3</v>
      </c>
      <c r="C239" t="s">
        <v>56</v>
      </c>
      <c r="D239" s="277">
        <v>26000</v>
      </c>
      <c r="E239" s="277">
        <v>23000</v>
      </c>
      <c r="F239" s="277">
        <f>L239*5.8/100+L239+20000</f>
        <v>56501</v>
      </c>
      <c r="G239" s="277">
        <v>20000</v>
      </c>
      <c r="H239" s="277">
        <f t="shared" ref="H239:H250" si="71">F239*1.5/100+F239</f>
        <v>57348.514999999999</v>
      </c>
      <c r="I239" s="275">
        <v>20000</v>
      </c>
      <c r="J239" s="2">
        <v>60789.425900000002</v>
      </c>
      <c r="K239" s="2">
        <f t="shared" si="60"/>
        <v>36342.857142857152</v>
      </c>
      <c r="L239" s="184">
        <f t="shared" ref="L239:L251" si="72">E239/8*12</f>
        <v>34500</v>
      </c>
    </row>
    <row r="240" spans="1:12">
      <c r="A240">
        <v>293</v>
      </c>
      <c r="B240">
        <v>4</v>
      </c>
      <c r="C240" t="s">
        <v>58</v>
      </c>
      <c r="D240" s="277">
        <v>16471.28</v>
      </c>
      <c r="E240" s="277">
        <v>11640.5</v>
      </c>
      <c r="F240" s="277">
        <f t="shared" ref="F240:F251" si="73">L240*5.8/100+L240</f>
        <v>18473.4735</v>
      </c>
      <c r="G240" s="277">
        <v>8327.5300000000007</v>
      </c>
      <c r="H240" s="277">
        <f t="shared" si="71"/>
        <v>18750.575602500001</v>
      </c>
      <c r="I240" s="275">
        <v>8327.5300000000007</v>
      </c>
      <c r="J240" s="2">
        <v>19875.610138650001</v>
      </c>
      <c r="K240" s="2">
        <f t="shared" si="60"/>
        <v>15132.311657142856</v>
      </c>
      <c r="L240" s="184">
        <f t="shared" si="72"/>
        <v>17460.75</v>
      </c>
    </row>
    <row r="241" spans="1:12">
      <c r="A241">
        <v>293</v>
      </c>
      <c r="B241">
        <v>6</v>
      </c>
      <c r="C241" t="s">
        <v>19</v>
      </c>
      <c r="D241" s="277">
        <v>113578.24000000001</v>
      </c>
      <c r="E241" s="277">
        <v>82209.009999999995</v>
      </c>
      <c r="F241" s="277">
        <f t="shared" si="73"/>
        <v>130465.69886999998</v>
      </c>
      <c r="G241" s="277">
        <v>63702.400000000001</v>
      </c>
      <c r="H241" s="277">
        <f t="shared" si="71"/>
        <v>132422.68435304999</v>
      </c>
      <c r="I241" s="275">
        <v>63702.400000000001</v>
      </c>
      <c r="J241" s="2">
        <v>140368.045414233</v>
      </c>
      <c r="K241" s="2">
        <f t="shared" si="60"/>
        <v>115756.36114285715</v>
      </c>
      <c r="L241" s="184">
        <f t="shared" si="72"/>
        <v>123313.51499999998</v>
      </c>
    </row>
    <row r="242" spans="1:12">
      <c r="A242">
        <v>293</v>
      </c>
      <c r="B242">
        <v>8</v>
      </c>
      <c r="C242" t="s">
        <v>173</v>
      </c>
      <c r="D242" s="277">
        <v>952458.02</v>
      </c>
      <c r="E242" s="277">
        <v>733498.96</v>
      </c>
      <c r="F242" s="277">
        <f>L242*5.8/100+L242-400000</f>
        <v>764062.84951999993</v>
      </c>
      <c r="G242" s="277">
        <v>407245.34</v>
      </c>
      <c r="H242" s="277">
        <f t="shared" si="71"/>
        <v>775523.79226279992</v>
      </c>
      <c r="I242" s="275">
        <v>407245.34</v>
      </c>
      <c r="J242" s="2">
        <v>822055.21979856794</v>
      </c>
      <c r="K242" s="2">
        <f t="shared" si="60"/>
        <v>740022.96068571438</v>
      </c>
      <c r="L242" s="184">
        <f t="shared" si="72"/>
        <v>1100248.44</v>
      </c>
    </row>
    <row r="243" spans="1:12">
      <c r="A243">
        <v>293</v>
      </c>
      <c r="B243">
        <v>10</v>
      </c>
      <c r="C243" t="s">
        <v>22</v>
      </c>
      <c r="D243" s="277">
        <v>636913.42000000004</v>
      </c>
      <c r="E243" s="277">
        <v>449907.55</v>
      </c>
      <c r="F243" s="277">
        <f t="shared" si="73"/>
        <v>714003.28184999991</v>
      </c>
      <c r="G243" s="277">
        <v>354294.63</v>
      </c>
      <c r="H243" s="277">
        <f t="shared" si="71"/>
        <v>724713.33107774996</v>
      </c>
      <c r="I243" s="275">
        <v>354294.63</v>
      </c>
      <c r="J243" s="2">
        <v>768196.13094241498</v>
      </c>
      <c r="K243" s="2">
        <f t="shared" si="60"/>
        <v>643803.95622857136</v>
      </c>
      <c r="L243" s="184">
        <f t="shared" si="72"/>
        <v>674861.32499999995</v>
      </c>
    </row>
    <row r="244" spans="1:12">
      <c r="A244">
        <v>293</v>
      </c>
      <c r="B244">
        <v>11</v>
      </c>
      <c r="C244" t="s">
        <v>24</v>
      </c>
      <c r="D244" s="277">
        <v>27517.119999999999</v>
      </c>
      <c r="E244" s="277">
        <v>17781.7</v>
      </c>
      <c r="F244" s="277">
        <f t="shared" si="73"/>
        <v>28219.557900000003</v>
      </c>
      <c r="G244" s="277">
        <v>96445.61</v>
      </c>
      <c r="H244" s="277">
        <f t="shared" si="71"/>
        <v>28642.851268500002</v>
      </c>
      <c r="I244" s="275">
        <v>96445.61</v>
      </c>
      <c r="J244" s="2">
        <v>30361.422344610004</v>
      </c>
      <c r="K244" s="2">
        <f t="shared" si="60"/>
        <v>175255.45131428572</v>
      </c>
      <c r="L244" s="184">
        <f t="shared" si="72"/>
        <v>26672.550000000003</v>
      </c>
    </row>
    <row r="245" spans="1:12">
      <c r="A245">
        <v>293</v>
      </c>
      <c r="B245">
        <v>13</v>
      </c>
      <c r="C245" t="s">
        <v>273</v>
      </c>
      <c r="D245" s="277">
        <v>495897.42</v>
      </c>
      <c r="E245" s="277">
        <v>369220.15</v>
      </c>
      <c r="F245" s="277">
        <f t="shared" si="73"/>
        <v>585952.37805000006</v>
      </c>
      <c r="G245" s="277">
        <v>310456.55</v>
      </c>
      <c r="H245" s="277">
        <f t="shared" si="71"/>
        <v>594741.66372075002</v>
      </c>
      <c r="I245" s="275">
        <v>310456.55</v>
      </c>
      <c r="J245" s="2">
        <v>630426.163543995</v>
      </c>
      <c r="K245" s="2">
        <f t="shared" si="60"/>
        <v>564143.90228571428</v>
      </c>
      <c r="L245" s="184">
        <f t="shared" si="72"/>
        <v>553830.22500000009</v>
      </c>
    </row>
    <row r="246" spans="1:12">
      <c r="A246">
        <v>293</v>
      </c>
      <c r="B246">
        <v>14</v>
      </c>
      <c r="C246" t="s">
        <v>25</v>
      </c>
      <c r="D246" s="277">
        <v>328852</v>
      </c>
      <c r="E246" s="277">
        <v>230190</v>
      </c>
      <c r="F246" s="277">
        <f>L246*5.8/100+L246+200000</f>
        <v>565311.53</v>
      </c>
      <c r="G246" s="277">
        <v>190940.5</v>
      </c>
      <c r="H246" s="277">
        <f t="shared" si="71"/>
        <v>573791.20295000006</v>
      </c>
      <c r="I246" s="275">
        <v>190940.5</v>
      </c>
      <c r="J246" s="2">
        <v>608218.67512700008</v>
      </c>
      <c r="K246" s="2">
        <f t="shared" si="60"/>
        <v>346966.16571428574</v>
      </c>
      <c r="L246" s="184">
        <f t="shared" si="72"/>
        <v>345285</v>
      </c>
    </row>
    <row r="247" spans="1:12">
      <c r="A247">
        <v>293</v>
      </c>
      <c r="B247">
        <v>16</v>
      </c>
      <c r="C247" t="s">
        <v>27</v>
      </c>
      <c r="D247" s="277">
        <v>47938.34</v>
      </c>
      <c r="E247" s="277">
        <v>34422.76</v>
      </c>
      <c r="F247" s="277">
        <f t="shared" si="73"/>
        <v>54628.920120000002</v>
      </c>
      <c r="G247" s="277">
        <v>26817.4</v>
      </c>
      <c r="H247" s="277">
        <f t="shared" si="71"/>
        <v>55448.353921800001</v>
      </c>
      <c r="I247" s="275">
        <v>26817.4</v>
      </c>
      <c r="J247" s="2">
        <v>58775.255157107997</v>
      </c>
      <c r="K247" s="2">
        <f t="shared" si="60"/>
        <v>48731.046857142865</v>
      </c>
      <c r="L247" s="184">
        <f t="shared" si="72"/>
        <v>51634.14</v>
      </c>
    </row>
    <row r="248" spans="1:12">
      <c r="A248">
        <v>293</v>
      </c>
      <c r="B248">
        <v>17</v>
      </c>
      <c r="C248" t="s">
        <v>29</v>
      </c>
      <c r="D248" s="277">
        <v>69867.600000000006</v>
      </c>
      <c r="E248" s="277">
        <v>50724.03</v>
      </c>
      <c r="F248" s="277">
        <f t="shared" si="73"/>
        <v>80499.035609999992</v>
      </c>
      <c r="G248" s="277">
        <v>37578.49</v>
      </c>
      <c r="H248" s="277">
        <f t="shared" si="71"/>
        <v>81706.521144149985</v>
      </c>
      <c r="I248" s="275">
        <v>37578.49</v>
      </c>
      <c r="J248" s="2">
        <v>86608.912412798978</v>
      </c>
      <c r="K248" s="2">
        <f t="shared" si="60"/>
        <v>68285.484685714298</v>
      </c>
      <c r="L248" s="184">
        <f t="shared" si="72"/>
        <v>76086.044999999998</v>
      </c>
    </row>
    <row r="249" spans="1:12">
      <c r="A249">
        <v>293</v>
      </c>
      <c r="B249">
        <v>18</v>
      </c>
      <c r="C249" t="s">
        <v>31</v>
      </c>
      <c r="D249" s="277">
        <v>311498.36</v>
      </c>
      <c r="E249" s="277">
        <v>252377.24</v>
      </c>
      <c r="F249" s="277">
        <f t="shared" si="73"/>
        <v>400522.67988000001</v>
      </c>
      <c r="G249" s="277">
        <v>229397.87</v>
      </c>
      <c r="H249" s="277">
        <f t="shared" si="71"/>
        <v>406530.52007820003</v>
      </c>
      <c r="I249" s="275">
        <v>229397.87</v>
      </c>
      <c r="J249" s="2">
        <v>430922.35128289205</v>
      </c>
      <c r="K249" s="2">
        <f t="shared" si="60"/>
        <v>416848.70091428573</v>
      </c>
      <c r="L249" s="184">
        <f t="shared" si="72"/>
        <v>378565.86</v>
      </c>
    </row>
    <row r="250" spans="1:12">
      <c r="A250">
        <v>293</v>
      </c>
      <c r="B250">
        <v>102</v>
      </c>
      <c r="C250" t="s">
        <v>66</v>
      </c>
      <c r="D250" s="277">
        <v>62475.8</v>
      </c>
      <c r="E250" s="277">
        <v>45363.21</v>
      </c>
      <c r="F250" s="277">
        <f t="shared" si="73"/>
        <v>71991.414270000008</v>
      </c>
      <c r="G250" s="277">
        <v>35387.24</v>
      </c>
      <c r="H250" s="277">
        <f t="shared" si="71"/>
        <v>73071.285484050008</v>
      </c>
      <c r="I250" s="275">
        <v>35387.24</v>
      </c>
      <c r="J250" s="2">
        <v>77455.562613093003</v>
      </c>
      <c r="K250" s="2">
        <f t="shared" si="60"/>
        <v>64303.670400000003</v>
      </c>
      <c r="L250" s="184">
        <f t="shared" si="72"/>
        <v>68044.815000000002</v>
      </c>
    </row>
    <row r="251" spans="1:12">
      <c r="A251">
        <v>293</v>
      </c>
      <c r="B251">
        <v>104</v>
      </c>
      <c r="C251" t="s">
        <v>34</v>
      </c>
      <c r="D251" s="277">
        <v>3690.76</v>
      </c>
      <c r="E251" s="277">
        <v>2585.06</v>
      </c>
      <c r="F251" s="277">
        <f t="shared" si="73"/>
        <v>4102.4902200000006</v>
      </c>
      <c r="G251" s="277">
        <v>1835.55</v>
      </c>
      <c r="H251" s="277">
        <f>F251*1.5/100+F251</f>
        <v>4164.0275733000008</v>
      </c>
      <c r="I251" s="275">
        <v>1835.55</v>
      </c>
      <c r="J251" s="2">
        <v>4413.8692276980009</v>
      </c>
      <c r="K251" s="2">
        <f t="shared" si="60"/>
        <v>3335.4565714285723</v>
      </c>
      <c r="L251" s="184">
        <f t="shared" si="72"/>
        <v>3877.59</v>
      </c>
    </row>
    <row r="252" spans="1:12" ht="15.75" thickBot="1">
      <c r="D252" s="278">
        <f t="shared" ref="D252:I252" si="74">SUM(D238:D251)</f>
        <v>7937642.8600000003</v>
      </c>
      <c r="E252" s="278">
        <f t="shared" si="74"/>
        <v>5600007.25</v>
      </c>
      <c r="F252" s="278">
        <f t="shared" si="74"/>
        <v>8707211.5057500005</v>
      </c>
      <c r="G252" s="278">
        <f t="shared" si="74"/>
        <v>4123471.6999999993</v>
      </c>
      <c r="H252" s="278">
        <f t="shared" si="74"/>
        <v>8837819.6783362497</v>
      </c>
      <c r="I252" s="276">
        <f t="shared" si="74"/>
        <v>4101733.5799999996</v>
      </c>
      <c r="J252" s="4">
        <v>9368088.8590364251</v>
      </c>
      <c r="K252" s="2"/>
    </row>
    <row r="253" spans="1:12" ht="15.75" thickTop="1">
      <c r="D253" s="277"/>
      <c r="E253" s="277"/>
      <c r="F253" s="159"/>
      <c r="G253" s="159"/>
      <c r="H253" s="159"/>
      <c r="I253" s="243"/>
      <c r="K253" s="2"/>
    </row>
    <row r="254" spans="1:12">
      <c r="D254" s="277"/>
      <c r="E254" s="277"/>
      <c r="F254" s="159"/>
      <c r="G254" s="159"/>
      <c r="H254" s="159"/>
      <c r="I254" s="243"/>
      <c r="K254" s="2"/>
    </row>
    <row r="255" spans="1:12">
      <c r="D255" s="277"/>
      <c r="E255" s="277"/>
      <c r="F255" s="159"/>
      <c r="G255" s="159"/>
      <c r="H255" s="159"/>
      <c r="I255" s="243"/>
      <c r="K255" s="2"/>
    </row>
    <row r="256" spans="1:12" ht="15.75" thickBot="1">
      <c r="C256" s="5" t="s">
        <v>852</v>
      </c>
      <c r="D256" s="281">
        <f t="shared" ref="D256:I256" si="75">D252+D236+D222+D206+D192+D176+D160+D147+D137+D121+D108+D93+D81+D71+D57+D45+D34+D29+D14</f>
        <v>64833218.240000002</v>
      </c>
      <c r="E256" s="281">
        <f t="shared" si="75"/>
        <v>45852959.350000009</v>
      </c>
      <c r="F256" s="281">
        <f t="shared" si="75"/>
        <v>78517000.007250026</v>
      </c>
      <c r="G256" s="281">
        <f t="shared" si="75"/>
        <v>34074674.770000003</v>
      </c>
      <c r="H256" s="281">
        <f t="shared" si="75"/>
        <v>77602274.933938742</v>
      </c>
      <c r="I256" s="283">
        <f t="shared" si="75"/>
        <v>34282676.549999997</v>
      </c>
      <c r="J256" s="285">
        <v>82258411.429975078</v>
      </c>
      <c r="K256" s="2"/>
    </row>
    <row r="257" spans="1:11" ht="15.75" thickTop="1">
      <c r="D257" s="277"/>
      <c r="E257" s="277"/>
      <c r="F257" s="159"/>
      <c r="G257" s="159"/>
      <c r="H257" s="159"/>
      <c r="I257" s="243"/>
      <c r="K257" s="2"/>
    </row>
    <row r="258" spans="1:11" ht="15.75" thickBot="1">
      <c r="D258" s="277"/>
      <c r="E258" s="277"/>
      <c r="F258" s="159"/>
      <c r="G258" s="159"/>
      <c r="H258" s="159"/>
      <c r="I258" s="243"/>
      <c r="K258" s="2"/>
    </row>
    <row r="259" spans="1:11" ht="15.75" thickBot="1">
      <c r="A259" s="151" t="s">
        <v>1115</v>
      </c>
      <c r="B259" s="149"/>
      <c r="C259" s="149"/>
      <c r="D259" s="152" t="s">
        <v>916</v>
      </c>
      <c r="E259" s="164"/>
      <c r="F259" s="152" t="s">
        <v>1102</v>
      </c>
      <c r="G259" s="152" t="s">
        <v>1104</v>
      </c>
      <c r="H259" s="152" t="s">
        <v>1103</v>
      </c>
      <c r="I259" s="152" t="s">
        <v>1118</v>
      </c>
      <c r="J259" s="152" t="s">
        <v>1117</v>
      </c>
      <c r="K259" s="2"/>
    </row>
    <row r="260" spans="1:11">
      <c r="C260" s="26"/>
      <c r="D260" s="277"/>
      <c r="E260" s="277"/>
      <c r="F260" s="159"/>
      <c r="G260" s="159"/>
      <c r="H260" s="159"/>
      <c r="I260" s="243"/>
      <c r="K260" s="2"/>
    </row>
    <row r="261" spans="1:11">
      <c r="C261" t="s">
        <v>16</v>
      </c>
      <c r="D261" s="277">
        <f t="shared" ref="D261:I261" si="76">D3+D17+D47+D59+D73+D95+D110+D123+D149+D162+D178+D194+D208+D224+D238</f>
        <v>38678199.149999999</v>
      </c>
      <c r="E261" s="277">
        <f t="shared" si="76"/>
        <v>26930862.219999999</v>
      </c>
      <c r="F261" s="277">
        <f t="shared" si="76"/>
        <v>47245000.003140002</v>
      </c>
      <c r="G261" s="277">
        <f t="shared" si="76"/>
        <v>20451639.670000002</v>
      </c>
      <c r="H261" s="277">
        <f>H3+H17+H47+H59+H73+H95+H110+H123+H149+H162+H178+H194+H208+H224+H238-60000</f>
        <v>45857209.003757164</v>
      </c>
      <c r="I261" s="275">
        <f t="shared" si="76"/>
        <v>20678216.790000003</v>
      </c>
      <c r="J261" s="30">
        <v>48672241.543982595</v>
      </c>
      <c r="K261" s="2">
        <f t="shared" ref="K261:K275" si="77">I261/7*12*1.06</f>
        <v>37575273.9384</v>
      </c>
    </row>
    <row r="262" spans="1:11">
      <c r="C262" t="s">
        <v>56</v>
      </c>
      <c r="D262" s="277">
        <f t="shared" ref="D262:I262" si="78">D18+D60+D96+D111+D124+D163+D179+D209+D239</f>
        <v>330346.09999999998</v>
      </c>
      <c r="E262" s="277">
        <f t="shared" si="78"/>
        <v>239149.67</v>
      </c>
      <c r="F262" s="277">
        <f t="shared" si="78"/>
        <v>489999.99629000004</v>
      </c>
      <c r="G262" s="277">
        <f t="shared" si="78"/>
        <v>145756.62</v>
      </c>
      <c r="H262" s="277">
        <f t="shared" si="78"/>
        <v>497206.70024618803</v>
      </c>
      <c r="I262" s="280">
        <f t="shared" si="78"/>
        <v>145756.62</v>
      </c>
      <c r="J262" s="34">
        <v>527039.10226095922</v>
      </c>
      <c r="K262" s="2">
        <f t="shared" si="77"/>
        <v>264860.60091428575</v>
      </c>
    </row>
    <row r="263" spans="1:11">
      <c r="C263" t="s">
        <v>58</v>
      </c>
      <c r="D263" s="277">
        <f t="shared" ref="D263:I263" si="79">D19+D61+D97+D125+D150+D164+D180+D195+D210+D225+D240</f>
        <v>130772.03000000001</v>
      </c>
      <c r="E263" s="277">
        <f t="shared" si="79"/>
        <v>66519.320000000007</v>
      </c>
      <c r="F263" s="277">
        <f t="shared" si="79"/>
        <v>105566.16084</v>
      </c>
      <c r="G263" s="277">
        <f t="shared" si="79"/>
        <v>47954.39</v>
      </c>
      <c r="H263" s="277">
        <f t="shared" si="79"/>
        <v>107135.36399029799</v>
      </c>
      <c r="I263" s="280">
        <f t="shared" si="79"/>
        <v>47954.39</v>
      </c>
      <c r="J263" s="34">
        <v>113563.48582971588</v>
      </c>
      <c r="K263" s="2">
        <f t="shared" si="77"/>
        <v>87139.977257142862</v>
      </c>
    </row>
    <row r="264" spans="1:11">
      <c r="C264" t="s">
        <v>19</v>
      </c>
      <c r="D264" s="277">
        <f t="shared" ref="D264:I264" si="80">D4+D20+D48+D62+D98+D112+D126+D151+D165+D181+D196+D211+D226+D241</f>
        <v>2182823.3199999998</v>
      </c>
      <c r="E264" s="277">
        <f t="shared" si="80"/>
        <v>1457556.4800000002</v>
      </c>
      <c r="F264" s="277">
        <f t="shared" si="80"/>
        <v>2277298.05376</v>
      </c>
      <c r="G264" s="277">
        <f t="shared" si="80"/>
        <v>1082767.8499999999</v>
      </c>
      <c r="H264" s="277">
        <f t="shared" si="80"/>
        <v>2317018.2347145686</v>
      </c>
      <c r="I264" s="280">
        <f t="shared" si="80"/>
        <v>1119839.05</v>
      </c>
      <c r="J264" s="34">
        <v>2456039.3287974433</v>
      </c>
      <c r="K264" s="2">
        <f t="shared" si="77"/>
        <v>2034907.530857143</v>
      </c>
    </row>
    <row r="265" spans="1:11">
      <c r="C265" t="s">
        <v>173</v>
      </c>
      <c r="D265" s="277">
        <f t="shared" ref="D265:I265" si="81">D5+D49+D63+D74+D99+D113+D128+D152+D166+D182+D197+D212+D227+D242</f>
        <v>3033924.0199999996</v>
      </c>
      <c r="E265" s="277">
        <f t="shared" si="81"/>
        <v>2343220.2999999998</v>
      </c>
      <c r="F265" s="277">
        <f t="shared" si="81"/>
        <v>2560999.9961000001</v>
      </c>
      <c r="G265" s="277">
        <f t="shared" si="81"/>
        <v>1923606.5400000003</v>
      </c>
      <c r="H265" s="277">
        <f t="shared" si="81"/>
        <v>3209227.0858120373</v>
      </c>
      <c r="I265" s="280">
        <f t="shared" si="81"/>
        <v>1923606.5400000003</v>
      </c>
      <c r="J265" s="34">
        <v>3401780.7109607588</v>
      </c>
      <c r="K265" s="2">
        <f t="shared" si="77"/>
        <v>3495467.8841142869</v>
      </c>
    </row>
    <row r="266" spans="1:11">
      <c r="C266" t="s">
        <v>22</v>
      </c>
      <c r="D266" s="277">
        <f t="shared" ref="D266:I266" si="82">D6+D21+D50+D64+D75+D100+D114+D129+D153+D167+D183+D198+D213+D228+D243</f>
        <v>6612110.5799999991</v>
      </c>
      <c r="E266" s="277">
        <f t="shared" si="82"/>
        <v>4557586.2899999991</v>
      </c>
      <c r="F266" s="277">
        <f t="shared" si="82"/>
        <v>8453410.0022299998</v>
      </c>
      <c r="G266" s="277">
        <f t="shared" si="82"/>
        <v>3315931.51</v>
      </c>
      <c r="H266" s="277">
        <f t="shared" si="82"/>
        <v>7765093.4802490491</v>
      </c>
      <c r="I266" s="280">
        <f t="shared" si="82"/>
        <v>3345931.51</v>
      </c>
      <c r="J266" s="34">
        <v>8230999.0890639927</v>
      </c>
      <c r="K266" s="2">
        <f t="shared" si="77"/>
        <v>6080035.5438857144</v>
      </c>
    </row>
    <row r="267" spans="1:11">
      <c r="C267" t="s">
        <v>24</v>
      </c>
      <c r="D267" s="277">
        <f>D7+D101+D154+D168+D214+D229+D244</f>
        <v>310052.8</v>
      </c>
      <c r="E267" s="277">
        <f>E7+E101+E154+E168+E214+E229+E244</f>
        <v>230940.20000000004</v>
      </c>
      <c r="F267" s="277">
        <f>F7+F101+F154+F168+F214+F229+F244</f>
        <v>766502.09740000009</v>
      </c>
      <c r="G267" s="277">
        <f>G7+G101+G154+G168+G214+G229+G244</f>
        <v>373162.68</v>
      </c>
      <c r="H267" s="277">
        <f>H7+H101+H154+H168+H184+H214+H229+H244</f>
        <v>871588.92961503007</v>
      </c>
      <c r="I267" s="280">
        <f>I7+I101+I154+I168+I184+I214+I229+I244</f>
        <v>410515.83999999997</v>
      </c>
      <c r="J267" s="34">
        <v>923884.26539193175</v>
      </c>
      <c r="K267" s="2">
        <f t="shared" si="77"/>
        <v>745965.9264</v>
      </c>
    </row>
    <row r="268" spans="1:11">
      <c r="C268" t="s">
        <v>273</v>
      </c>
      <c r="D268" s="277">
        <f t="shared" ref="D268:I268" si="83">D245+D215+D199+D185+D155+D130+D230</f>
        <v>1043281.8199999998</v>
      </c>
      <c r="E268" s="277">
        <f t="shared" si="83"/>
        <v>796371.15000000014</v>
      </c>
      <c r="F268" s="277">
        <f t="shared" si="83"/>
        <v>1752431.70505</v>
      </c>
      <c r="G268" s="277">
        <f t="shared" si="83"/>
        <v>580090.64</v>
      </c>
      <c r="H268" s="277">
        <f t="shared" si="83"/>
        <v>1779686.658478559</v>
      </c>
      <c r="I268" s="280">
        <f t="shared" si="83"/>
        <v>669690.6399999999</v>
      </c>
      <c r="J268" s="34">
        <v>1886467.857987273</v>
      </c>
      <c r="K268" s="2">
        <f t="shared" si="77"/>
        <v>1216923.5629714285</v>
      </c>
    </row>
    <row r="269" spans="1:11">
      <c r="C269" t="s">
        <v>25</v>
      </c>
      <c r="D269" s="277">
        <f t="shared" ref="D269:I269" si="84">D8+D22+D51+D65+D102+D115+D131+D169+D186+D200+D216+D246</f>
        <v>1996254.16</v>
      </c>
      <c r="E269" s="277">
        <f t="shared" si="84"/>
        <v>1411708.08</v>
      </c>
      <c r="F269" s="277">
        <f t="shared" si="84"/>
        <v>3354000.0029600002</v>
      </c>
      <c r="G269" s="277">
        <f t="shared" si="84"/>
        <v>1116994.78</v>
      </c>
      <c r="H269" s="277">
        <f t="shared" si="84"/>
        <v>3422097.9763070969</v>
      </c>
      <c r="I269" s="280">
        <f t="shared" si="84"/>
        <v>1116994.78</v>
      </c>
      <c r="J269" s="34">
        <v>3627423.8548855227</v>
      </c>
      <c r="K269" s="2">
        <f t="shared" si="77"/>
        <v>2029739.085942857</v>
      </c>
    </row>
    <row r="270" spans="1:11">
      <c r="C270" t="s">
        <v>27</v>
      </c>
      <c r="D270" s="277">
        <f t="shared" ref="D270:I270" si="85">D9+D23+D52+D66+D76+D103+D116+D132+D156+D170+D187+D201+D217+D231+D247</f>
        <v>379324.42000000004</v>
      </c>
      <c r="E270" s="277">
        <f t="shared" si="85"/>
        <v>270063.01</v>
      </c>
      <c r="F270" s="277">
        <f t="shared" si="85"/>
        <v>428589.99687000003</v>
      </c>
      <c r="G270" s="277">
        <f t="shared" si="85"/>
        <v>202934.86000000002</v>
      </c>
      <c r="H270" s="277">
        <f t="shared" si="85"/>
        <v>434816.63091962697</v>
      </c>
      <c r="I270" s="280">
        <f t="shared" si="85"/>
        <v>202934.86000000002</v>
      </c>
      <c r="J270" s="34">
        <v>460905.62877480459</v>
      </c>
      <c r="K270" s="2">
        <f t="shared" si="77"/>
        <v>368761.6313142858</v>
      </c>
    </row>
    <row r="271" spans="1:11">
      <c r="C271" t="s">
        <v>29</v>
      </c>
      <c r="D271" s="277">
        <f t="shared" ref="D271:I271" si="86">D10+D24+D53+D67+D77+D104+D117+D133+D171+D188+D202+D218+D232+D248</f>
        <v>337563.97</v>
      </c>
      <c r="E271" s="277">
        <f t="shared" si="86"/>
        <v>212721.83000000002</v>
      </c>
      <c r="F271" s="277">
        <f t="shared" si="86"/>
        <v>441000.00421000004</v>
      </c>
      <c r="G271" s="277">
        <f t="shared" si="86"/>
        <v>158467.35</v>
      </c>
      <c r="H271" s="277">
        <f t="shared" si="86"/>
        <v>447247.12920607004</v>
      </c>
      <c r="I271" s="280">
        <f t="shared" si="86"/>
        <v>158467.35</v>
      </c>
      <c r="J271" s="34">
        <v>474081.95695843414</v>
      </c>
      <c r="K271" s="2">
        <f t="shared" si="77"/>
        <v>287957.81314285717</v>
      </c>
    </row>
    <row r="272" spans="1:11">
      <c r="C272" t="s">
        <v>31</v>
      </c>
      <c r="D272" s="277">
        <f t="shared" ref="D272:I273" si="87">D11+D25+D54+D68+D78+D105+D118+D134+D157+D172+D189+D203+D219+D233+D249</f>
        <v>2812156.54</v>
      </c>
      <c r="E272" s="277">
        <f t="shared" si="87"/>
        <v>1918219.94</v>
      </c>
      <c r="F272" s="277">
        <f t="shared" si="87"/>
        <v>3369000.0047800005</v>
      </c>
      <c r="G272" s="277">
        <f t="shared" si="87"/>
        <v>1472225.6099999999</v>
      </c>
      <c r="H272" s="277">
        <f t="shared" si="87"/>
        <v>3417804.5134013658</v>
      </c>
      <c r="I272" s="280">
        <f t="shared" si="87"/>
        <v>1472225.6099999999</v>
      </c>
      <c r="J272" s="34">
        <v>3622872.7842054479</v>
      </c>
      <c r="K272" s="2">
        <f t="shared" si="77"/>
        <v>2675244.2513142857</v>
      </c>
    </row>
    <row r="273" spans="1:12">
      <c r="C273" t="s">
        <v>66</v>
      </c>
      <c r="D273" s="277">
        <f t="shared" si="87"/>
        <v>695274.12</v>
      </c>
      <c r="E273" s="277">
        <f t="shared" si="87"/>
        <v>445174.60000000003</v>
      </c>
      <c r="F273" s="277">
        <f t="shared" si="87"/>
        <v>706492.09019999998</v>
      </c>
      <c r="G273" s="277">
        <f t="shared" si="87"/>
        <v>248141.01999999996</v>
      </c>
      <c r="H273" s="277">
        <f t="shared" si="87"/>
        <v>715942.65914273413</v>
      </c>
      <c r="I273" s="280">
        <f t="shared" si="87"/>
        <v>247874.01999999996</v>
      </c>
      <c r="J273" s="34">
        <v>758899.21869129804</v>
      </c>
      <c r="K273" s="2">
        <f t="shared" si="77"/>
        <v>450422.50491428573</v>
      </c>
    </row>
    <row r="274" spans="1:12">
      <c r="C274" t="s">
        <v>382</v>
      </c>
      <c r="D274" s="277">
        <f t="shared" ref="D274:I274" si="88">D174</f>
        <v>5756.6</v>
      </c>
      <c r="E274" s="277">
        <f t="shared" si="88"/>
        <v>4258.6000000000004</v>
      </c>
      <c r="F274" s="277">
        <f t="shared" si="88"/>
        <v>6758.3982000000005</v>
      </c>
      <c r="G274" s="277">
        <f t="shared" si="88"/>
        <v>1776.2</v>
      </c>
      <c r="H274" s="277">
        <f t="shared" si="88"/>
        <v>6873.2909694000009</v>
      </c>
      <c r="I274" s="280">
        <f t="shared" si="88"/>
        <v>2033</v>
      </c>
      <c r="J274" s="34">
        <v>7285.6884275640014</v>
      </c>
      <c r="K274" s="2">
        <f t="shared" si="77"/>
        <v>3694.2514285714292</v>
      </c>
    </row>
    <row r="275" spans="1:12">
      <c r="C275" t="s">
        <v>34</v>
      </c>
      <c r="D275" s="277">
        <f t="shared" ref="D275:I275" si="89">D13+D27+D56+D70+D80+D107+D120+D136+D159+D175+D191+D205+D221+D235+D251</f>
        <v>26494.21</v>
      </c>
      <c r="E275" s="277">
        <f t="shared" si="89"/>
        <v>18873.030000000002</v>
      </c>
      <c r="F275" s="277">
        <f t="shared" si="89"/>
        <v>29951.498609999999</v>
      </c>
      <c r="G275" s="277">
        <f t="shared" si="89"/>
        <v>14586.699999999999</v>
      </c>
      <c r="H275" s="277">
        <f t="shared" si="89"/>
        <v>30391.856507051998</v>
      </c>
      <c r="I275" s="280">
        <f t="shared" si="89"/>
        <v>14586.699999999999</v>
      </c>
      <c r="J275" s="34">
        <v>32215.36789747512</v>
      </c>
      <c r="K275" s="2">
        <f t="shared" si="77"/>
        <v>26506.117714285716</v>
      </c>
    </row>
    <row r="276" spans="1:12">
      <c r="D276" s="159"/>
      <c r="E276" s="159"/>
      <c r="F276" s="159"/>
      <c r="G276" s="159"/>
      <c r="H276" s="159"/>
      <c r="I276" s="243"/>
      <c r="J276" s="2"/>
    </row>
    <row r="277" spans="1:12" ht="15.75" thickBot="1">
      <c r="D277" s="282">
        <f t="shared" ref="D277:I277" si="90">SUM(D261:D276)</f>
        <v>58574333.839999996</v>
      </c>
      <c r="E277" s="282">
        <f t="shared" si="90"/>
        <v>40903224.719999999</v>
      </c>
      <c r="F277" s="282">
        <f t="shared" si="90"/>
        <v>71987000.010639995</v>
      </c>
      <c r="G277" s="282">
        <f t="shared" si="90"/>
        <v>31136036.420000006</v>
      </c>
      <c r="H277" s="282">
        <f t="shared" si="90"/>
        <v>70879339.513316229</v>
      </c>
      <c r="I277" s="284">
        <f t="shared" si="90"/>
        <v>31556627.700000007</v>
      </c>
      <c r="J277" s="227">
        <v>75195699.884115234</v>
      </c>
      <c r="K277" s="273"/>
    </row>
    <row r="278" spans="1:12" ht="15.75" thickTop="1">
      <c r="D278" s="277"/>
      <c r="E278" s="277"/>
      <c r="F278" s="159"/>
      <c r="G278" s="159"/>
      <c r="H278" s="159"/>
      <c r="I278" s="243"/>
    </row>
    <row r="279" spans="1:12">
      <c r="D279" s="277"/>
      <c r="E279" s="277"/>
      <c r="F279" s="159"/>
      <c r="G279" s="159"/>
      <c r="H279" s="159"/>
      <c r="I279" s="243"/>
    </row>
    <row r="280" spans="1:12" ht="15.75" thickBot="1">
      <c r="A280" s="229"/>
      <c r="B280" s="229"/>
      <c r="C280" s="229" t="s">
        <v>1116</v>
      </c>
      <c r="D280" s="230">
        <f>D256-D277</f>
        <v>6258884.400000006</v>
      </c>
      <c r="E280" s="230">
        <f>E256-E277</f>
        <v>4949734.6300000101</v>
      </c>
      <c r="F280" s="230">
        <f>F256-F277</f>
        <v>6529999.9966100305</v>
      </c>
      <c r="G280" s="230">
        <f>G256-G277</f>
        <v>2938638.3499999978</v>
      </c>
      <c r="H280" s="230">
        <f>H93+H147</f>
        <v>6662935.4206225099</v>
      </c>
      <c r="I280" s="230">
        <f>I93+I147</f>
        <v>2726048.8500000006</v>
      </c>
      <c r="J280" s="230">
        <v>7062711.545859864</v>
      </c>
      <c r="K280" s="274"/>
      <c r="L280" s="228"/>
    </row>
    <row r="281" spans="1:12" ht="15.75" thickTop="1">
      <c r="D281" s="277"/>
      <c r="E281" s="277"/>
      <c r="F281" s="159"/>
      <c r="G281" s="159"/>
      <c r="H281" s="277"/>
      <c r="I281" s="275"/>
      <c r="J281" s="2"/>
      <c r="K281" s="2"/>
    </row>
    <row r="282" spans="1:12">
      <c r="D282" s="277"/>
      <c r="E282" s="277"/>
      <c r="F282" s="159"/>
      <c r="G282" s="159"/>
      <c r="H282" s="159"/>
      <c r="I282" s="243"/>
    </row>
    <row r="283" spans="1:12">
      <c r="D283" s="277"/>
      <c r="E283" s="277"/>
      <c r="F283" s="159"/>
      <c r="G283" s="159"/>
      <c r="H283" s="159"/>
      <c r="I283" s="243"/>
    </row>
    <row r="284" spans="1:12">
      <c r="D284" s="277"/>
      <c r="E284" s="277"/>
      <c r="F284" s="159"/>
      <c r="G284" s="159"/>
      <c r="H284" s="159"/>
      <c r="I284" s="243"/>
    </row>
    <row r="285" spans="1:12">
      <c r="D285" s="277"/>
      <c r="E285" s="277"/>
      <c r="F285" s="159"/>
      <c r="G285" s="159"/>
      <c r="H285" s="159"/>
      <c r="I285" s="243"/>
    </row>
    <row r="286" spans="1:12">
      <c r="D286" s="277"/>
      <c r="E286" s="277"/>
      <c r="F286" s="159"/>
      <c r="G286" s="159"/>
      <c r="H286" s="159"/>
      <c r="I286" s="243"/>
    </row>
    <row r="287" spans="1:12">
      <c r="D287" s="277"/>
      <c r="E287" s="277"/>
      <c r="F287" s="159"/>
      <c r="G287" s="159"/>
      <c r="H287" s="159"/>
      <c r="I287" s="243"/>
    </row>
    <row r="288" spans="1:12">
      <c r="D288" s="277"/>
      <c r="E288" s="277"/>
      <c r="F288" s="159"/>
      <c r="G288" s="159"/>
      <c r="H288" s="159"/>
      <c r="I288" s="243"/>
    </row>
    <row r="289" spans="4:9">
      <c r="D289" s="277"/>
      <c r="E289" s="277"/>
      <c r="F289" s="159"/>
      <c r="G289" s="159"/>
      <c r="H289" s="159"/>
      <c r="I289" s="243"/>
    </row>
    <row r="290" spans="4:9">
      <c r="D290" s="277"/>
      <c r="E290" s="277"/>
      <c r="F290" s="159"/>
      <c r="G290" s="159"/>
      <c r="H290" s="159"/>
      <c r="I290" s="243"/>
    </row>
    <row r="291" spans="4:9">
      <c r="D291" s="277"/>
      <c r="E291" s="277"/>
      <c r="F291" s="159"/>
      <c r="G291" s="159"/>
      <c r="H291" s="159"/>
      <c r="I291" s="243"/>
    </row>
    <row r="292" spans="4:9">
      <c r="D292" s="277"/>
      <c r="E292" s="277"/>
      <c r="F292" s="159"/>
      <c r="G292" s="159"/>
      <c r="H292" s="159"/>
      <c r="I292" s="243"/>
    </row>
    <row r="293" spans="4:9">
      <c r="D293" s="277"/>
      <c r="E293" s="277"/>
      <c r="F293" s="159"/>
      <c r="G293" s="159"/>
      <c r="H293" s="159"/>
      <c r="I293" s="243"/>
    </row>
    <row r="294" spans="4:9">
      <c r="D294" s="277"/>
      <c r="E294" s="277"/>
      <c r="F294" s="159"/>
      <c r="G294" s="159"/>
      <c r="H294" s="159"/>
      <c r="I294" s="243"/>
    </row>
    <row r="295" spans="4:9">
      <c r="D295" s="277"/>
      <c r="E295" s="277"/>
      <c r="F295" s="159"/>
      <c r="G295" s="159"/>
      <c r="H295" s="159"/>
      <c r="I295" s="243"/>
    </row>
    <row r="296" spans="4:9">
      <c r="D296" s="277"/>
      <c r="E296" s="277"/>
      <c r="F296" s="159"/>
      <c r="G296" s="159"/>
      <c r="H296" s="159"/>
      <c r="I296" s="243"/>
    </row>
    <row r="297" spans="4:9">
      <c r="D297" s="277"/>
      <c r="E297" s="277"/>
      <c r="F297" s="159"/>
      <c r="G297" s="159"/>
      <c r="H297" s="159"/>
      <c r="I297" s="243"/>
    </row>
    <row r="298" spans="4:9">
      <c r="D298" s="277"/>
      <c r="E298" s="277"/>
      <c r="F298" s="159"/>
      <c r="G298" s="159"/>
      <c r="H298" s="159"/>
      <c r="I298" s="243"/>
    </row>
    <row r="299" spans="4:9">
      <c r="D299" s="277"/>
      <c r="E299" s="277"/>
      <c r="F299" s="159"/>
      <c r="G299" s="159"/>
      <c r="H299" s="159"/>
      <c r="I299" s="243"/>
    </row>
    <row r="300" spans="4:9">
      <c r="D300" s="277"/>
      <c r="E300" s="277"/>
      <c r="F300" s="159"/>
      <c r="G300" s="159"/>
      <c r="H300" s="159"/>
      <c r="I300" s="243"/>
    </row>
    <row r="301" spans="4:9">
      <c r="D301" s="277"/>
      <c r="E301" s="277"/>
      <c r="F301" s="159"/>
      <c r="G301" s="159"/>
      <c r="H301" s="159"/>
      <c r="I301" s="243"/>
    </row>
    <row r="302" spans="4:9">
      <c r="D302" s="277"/>
      <c r="E302" s="277"/>
      <c r="F302" s="159"/>
      <c r="G302" s="159"/>
      <c r="H302" s="159"/>
      <c r="I302" s="243"/>
    </row>
    <row r="303" spans="4:9">
      <c r="D303" s="277"/>
      <c r="E303" s="277"/>
      <c r="F303" s="159"/>
      <c r="G303" s="159"/>
      <c r="H303" s="159"/>
      <c r="I303" s="243"/>
    </row>
    <row r="304" spans="4:9">
      <c r="D304" s="277"/>
      <c r="E304" s="277"/>
      <c r="F304" s="159"/>
      <c r="G304" s="159"/>
      <c r="H304" s="159"/>
      <c r="I304" s="243"/>
    </row>
    <row r="305" spans="4:9">
      <c r="D305" s="277"/>
      <c r="E305" s="277"/>
      <c r="F305" s="159"/>
      <c r="G305" s="159"/>
      <c r="H305" s="159"/>
      <c r="I305" s="243"/>
    </row>
    <row r="306" spans="4:9">
      <c r="D306" s="277"/>
      <c r="E306" s="277"/>
      <c r="F306" s="159"/>
      <c r="G306" s="159"/>
      <c r="H306" s="159"/>
      <c r="I306" s="243"/>
    </row>
    <row r="307" spans="4:9">
      <c r="D307" s="277"/>
      <c r="E307" s="277"/>
      <c r="F307" s="159"/>
      <c r="G307" s="159"/>
      <c r="H307" s="159"/>
      <c r="I307" s="243"/>
    </row>
    <row r="308" spans="4:9">
      <c r="D308" s="277"/>
      <c r="E308" s="277"/>
      <c r="F308" s="159"/>
      <c r="G308" s="159"/>
      <c r="H308" s="159"/>
      <c r="I308" s="243"/>
    </row>
    <row r="309" spans="4:9">
      <c r="D309" s="277"/>
      <c r="E309" s="277"/>
      <c r="F309" s="159"/>
      <c r="G309" s="159"/>
      <c r="H309" s="159"/>
      <c r="I309" s="243"/>
    </row>
    <row r="310" spans="4:9">
      <c r="D310" s="277"/>
      <c r="E310" s="277"/>
      <c r="F310" s="159"/>
      <c r="G310" s="159"/>
      <c r="H310" s="159"/>
      <c r="I310" s="243"/>
    </row>
    <row r="311" spans="4:9">
      <c r="D311" s="277"/>
      <c r="E311" s="277"/>
      <c r="F311" s="159"/>
      <c r="G311" s="159"/>
      <c r="H311" s="159"/>
      <c r="I311" s="243"/>
    </row>
    <row r="312" spans="4:9">
      <c r="D312" s="277"/>
      <c r="E312" s="277"/>
      <c r="F312" s="159"/>
      <c r="G312" s="159"/>
      <c r="H312" s="159"/>
      <c r="I312" s="243"/>
    </row>
    <row r="313" spans="4:9">
      <c r="D313" s="277"/>
      <c r="E313" s="277"/>
      <c r="F313" s="159"/>
      <c r="G313" s="159"/>
      <c r="H313" s="159"/>
      <c r="I313" s="243"/>
    </row>
    <row r="314" spans="4:9">
      <c r="D314" s="277"/>
      <c r="E314" s="277"/>
      <c r="F314" s="159"/>
      <c r="G314" s="159"/>
      <c r="H314" s="159"/>
      <c r="I314" s="243"/>
    </row>
    <row r="315" spans="4:9">
      <c r="D315" s="277"/>
      <c r="E315" s="277"/>
      <c r="F315" s="159"/>
      <c r="G315" s="159"/>
      <c r="H315" s="159"/>
      <c r="I315" s="243"/>
    </row>
  </sheetData>
  <pageMargins left="0.7" right="0.7" top="0.75" bottom="0.75" header="0.3" footer="0.3"/>
  <pageSetup scale="52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ySplit="2" topLeftCell="A26" activePane="bottomLeft" state="frozen"/>
      <selection pane="bottomLeft" activeCell="J50" sqref="J50"/>
    </sheetView>
  </sheetViews>
  <sheetFormatPr defaultRowHeight="15"/>
  <cols>
    <col min="3" max="3" width="31.28515625" bestFit="1" customWidth="1"/>
    <col min="4" max="4" width="15.5703125" style="180" bestFit="1" customWidth="1"/>
    <col min="5" max="5" width="19.7109375" style="180" hidden="1" customWidth="1"/>
    <col min="6" max="6" width="19.7109375" style="115" bestFit="1" customWidth="1"/>
    <col min="7" max="7" width="24.140625" style="133" hidden="1" customWidth="1"/>
    <col min="8" max="8" width="26" bestFit="1" customWidth="1"/>
    <col min="9" max="10" width="26" customWidth="1"/>
  </cols>
  <sheetData>
    <row r="1" spans="1:12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27"/>
      <c r="L1" s="27"/>
    </row>
    <row r="2" spans="1:12" s="1" customFormat="1" ht="15.75" thickBot="1">
      <c r="A2" s="173" t="s">
        <v>4</v>
      </c>
      <c r="B2" s="174" t="s">
        <v>5</v>
      </c>
      <c r="C2" s="175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152" t="s">
        <v>1123</v>
      </c>
      <c r="K2" s="44"/>
      <c r="L2" s="44"/>
    </row>
    <row r="3" spans="1:12">
      <c r="A3">
        <v>224</v>
      </c>
      <c r="B3">
        <v>281</v>
      </c>
      <c r="C3" t="s">
        <v>94</v>
      </c>
      <c r="D3" s="180">
        <v>0</v>
      </c>
      <c r="E3" s="180">
        <v>2324.81</v>
      </c>
      <c r="F3" s="115">
        <f>CORPORATE!F12</f>
        <v>0</v>
      </c>
      <c r="G3" s="133">
        <v>363.86</v>
      </c>
      <c r="H3" s="115">
        <f>F3</f>
        <v>0</v>
      </c>
      <c r="I3" s="239"/>
      <c r="J3" s="27">
        <v>0</v>
      </c>
    </row>
    <row r="4" spans="1:12">
      <c r="A4">
        <v>230</v>
      </c>
      <c r="B4">
        <v>272</v>
      </c>
      <c r="C4" t="s">
        <v>143</v>
      </c>
      <c r="D4" s="180">
        <v>50000</v>
      </c>
      <c r="E4" s="180">
        <v>1815.86</v>
      </c>
      <c r="F4" s="115">
        <f>'COMMUNITY SERVICES'!F117</f>
        <v>40000</v>
      </c>
      <c r="G4" s="133">
        <v>2602.2800000000002</v>
      </c>
      <c r="H4" s="115">
        <f t="shared" ref="H4:H41" si="0">F4</f>
        <v>40000</v>
      </c>
      <c r="I4" s="239"/>
      <c r="J4" s="356">
        <f>'COMMUNITY SERVICES'!J117</f>
        <v>30000</v>
      </c>
    </row>
    <row r="5" spans="1:12">
      <c r="A5">
        <v>244</v>
      </c>
      <c r="B5">
        <v>264</v>
      </c>
      <c r="C5" t="s">
        <v>214</v>
      </c>
      <c r="D5" s="180">
        <v>0</v>
      </c>
      <c r="E5" s="180">
        <v>1140.1500000000001</v>
      </c>
      <c r="F5" s="115">
        <f>CORPORATE!L63</f>
        <v>1710.2250000000001</v>
      </c>
      <c r="G5" s="133">
        <v>329.65</v>
      </c>
      <c r="H5" s="115">
        <f t="shared" si="0"/>
        <v>1710.2250000000001</v>
      </c>
      <c r="I5" s="239"/>
      <c r="J5" s="355">
        <f>CORPORATE!J63</f>
        <v>1000</v>
      </c>
    </row>
    <row r="6" spans="1:12">
      <c r="A6">
        <v>244</v>
      </c>
      <c r="B6">
        <v>268</v>
      </c>
      <c r="C6" t="s">
        <v>216</v>
      </c>
      <c r="D6" s="180">
        <v>10000</v>
      </c>
      <c r="E6" s="180">
        <v>105.26</v>
      </c>
      <c r="F6" s="115">
        <v>5000</v>
      </c>
      <c r="G6" s="133">
        <v>0</v>
      </c>
      <c r="H6" s="115">
        <f t="shared" si="0"/>
        <v>5000</v>
      </c>
      <c r="I6" s="239"/>
      <c r="J6" s="355">
        <f>CORPORATE!J64</f>
        <v>2500</v>
      </c>
    </row>
    <row r="7" spans="1:12">
      <c r="A7">
        <v>244</v>
      </c>
      <c r="B7">
        <v>278</v>
      </c>
      <c r="C7" t="s">
        <v>218</v>
      </c>
      <c r="D7" s="180">
        <v>32000</v>
      </c>
      <c r="E7" s="180">
        <v>23581.24</v>
      </c>
      <c r="F7" s="115">
        <v>36000</v>
      </c>
      <c r="G7" s="133">
        <v>21891.26</v>
      </c>
      <c r="H7" s="115">
        <v>40000</v>
      </c>
      <c r="I7" s="239"/>
      <c r="J7" s="355">
        <f>CORPORATE!J65</f>
        <v>40000</v>
      </c>
    </row>
    <row r="8" spans="1:12" s="35" customFormat="1">
      <c r="A8" s="35">
        <v>244</v>
      </c>
      <c r="B8" s="35">
        <v>281</v>
      </c>
      <c r="C8" s="35" t="s">
        <v>94</v>
      </c>
      <c r="D8" s="180">
        <v>464000</v>
      </c>
      <c r="E8" s="180">
        <v>101149.83</v>
      </c>
      <c r="F8" s="115">
        <v>400000</v>
      </c>
      <c r="G8" s="115">
        <v>441427.5</v>
      </c>
      <c r="H8" s="115">
        <v>550000</v>
      </c>
      <c r="I8" s="239"/>
      <c r="J8" s="355">
        <f>CORPORATE!J66</f>
        <v>956036.57142857148</v>
      </c>
    </row>
    <row r="9" spans="1:12">
      <c r="A9">
        <v>244</v>
      </c>
      <c r="B9">
        <v>284</v>
      </c>
      <c r="C9" t="s">
        <v>221</v>
      </c>
      <c r="D9" s="180">
        <v>180000</v>
      </c>
      <c r="E9" s="180">
        <v>131160.37</v>
      </c>
      <c r="F9" s="115">
        <v>200000</v>
      </c>
      <c r="G9" s="115">
        <v>173297.53</v>
      </c>
      <c r="H9" s="115">
        <v>300000</v>
      </c>
      <c r="I9" s="239"/>
      <c r="J9" s="355">
        <f>CORPORATE!J67</f>
        <v>400000</v>
      </c>
    </row>
    <row r="10" spans="1:12">
      <c r="A10">
        <v>245</v>
      </c>
      <c r="B10">
        <v>278</v>
      </c>
      <c r="C10" t="s">
        <v>218</v>
      </c>
      <c r="D10" s="180">
        <v>0</v>
      </c>
      <c r="E10" s="180">
        <v>1571.14</v>
      </c>
      <c r="F10" s="115">
        <f>'COMMUNITY SERVICES'!F154</f>
        <v>2000</v>
      </c>
      <c r="G10" s="115">
        <v>0</v>
      </c>
      <c r="H10" s="115">
        <f t="shared" si="0"/>
        <v>2000</v>
      </c>
      <c r="I10" s="239"/>
      <c r="J10" s="355">
        <f>'COMMUNITY SERVICES'!J154</f>
        <v>0</v>
      </c>
    </row>
    <row r="11" spans="1:12">
      <c r="A11">
        <v>262</v>
      </c>
      <c r="B11">
        <v>264</v>
      </c>
      <c r="C11" t="s">
        <v>214</v>
      </c>
      <c r="D11" s="180">
        <v>50000</v>
      </c>
      <c r="E11" s="180">
        <v>1597.15</v>
      </c>
      <c r="F11" s="115">
        <f>'COMMUNITY SERVICES'!F194</f>
        <v>0</v>
      </c>
      <c r="G11" s="115">
        <v>350.8</v>
      </c>
      <c r="H11" s="115">
        <f t="shared" si="0"/>
        <v>0</v>
      </c>
      <c r="I11" s="239"/>
      <c r="J11" s="239">
        <f>'COMMUNITY SERVICES'!J194</f>
        <v>1000</v>
      </c>
    </row>
    <row r="12" spans="1:12">
      <c r="A12">
        <v>262</v>
      </c>
      <c r="B12">
        <v>278</v>
      </c>
      <c r="C12" t="s">
        <v>218</v>
      </c>
      <c r="D12" s="180">
        <v>35000</v>
      </c>
      <c r="E12" s="180">
        <v>20031.259999999998</v>
      </c>
      <c r="F12" s="115">
        <f>'COMMUNITY SERVICES'!F195</f>
        <v>50000</v>
      </c>
      <c r="G12" s="115">
        <v>0</v>
      </c>
      <c r="H12" s="115">
        <v>20000</v>
      </c>
      <c r="I12" s="239"/>
      <c r="J12" s="239">
        <f>'COMMUNITY SERVICES'!J195</f>
        <v>30000</v>
      </c>
    </row>
    <row r="13" spans="1:12">
      <c r="A13">
        <v>262</v>
      </c>
      <c r="B13">
        <v>284</v>
      </c>
      <c r="C13" t="s">
        <v>221</v>
      </c>
      <c r="D13" s="180">
        <v>200000</v>
      </c>
      <c r="E13" s="180">
        <v>130811.54</v>
      </c>
      <c r="F13" s="115">
        <f>'COMMUNITY SERVICES'!F196</f>
        <v>200000</v>
      </c>
      <c r="G13" s="115">
        <v>61989.61</v>
      </c>
      <c r="H13" s="115">
        <f t="shared" si="0"/>
        <v>200000</v>
      </c>
      <c r="I13" s="239"/>
      <c r="J13" s="239">
        <f>'COMMUNITY SERVICES'!J196</f>
        <v>150000</v>
      </c>
    </row>
    <row r="14" spans="1:12">
      <c r="A14" s="42">
        <v>262</v>
      </c>
      <c r="B14" s="42">
        <v>299</v>
      </c>
      <c r="C14" s="42" t="s">
        <v>290</v>
      </c>
      <c r="D14" s="119">
        <v>153000</v>
      </c>
      <c r="E14" s="119">
        <v>47110</v>
      </c>
      <c r="F14" s="119">
        <v>100000</v>
      </c>
      <c r="G14" s="115">
        <v>49811.3</v>
      </c>
      <c r="H14" s="115">
        <f>F14</f>
        <v>100000</v>
      </c>
      <c r="I14" s="239"/>
      <c r="J14" s="239">
        <f>'COMMUNITY SERVICES'!J197</f>
        <v>300000</v>
      </c>
    </row>
    <row r="15" spans="1:12">
      <c r="A15">
        <v>267</v>
      </c>
      <c r="B15">
        <v>284</v>
      </c>
      <c r="C15" t="s">
        <v>221</v>
      </c>
      <c r="D15" s="180">
        <v>60000</v>
      </c>
      <c r="E15" s="180">
        <v>49636.62</v>
      </c>
      <c r="F15" s="115">
        <f>MAYOR!F18</f>
        <v>60000</v>
      </c>
      <c r="G15" s="115">
        <v>40118.089999999997</v>
      </c>
      <c r="H15" s="115">
        <f t="shared" si="0"/>
        <v>60000</v>
      </c>
      <c r="I15" s="239"/>
      <c r="J15" s="355">
        <f>MAYOR!J18</f>
        <v>0</v>
      </c>
    </row>
    <row r="16" spans="1:12">
      <c r="A16">
        <v>268</v>
      </c>
      <c r="B16">
        <v>278</v>
      </c>
      <c r="C16" t="s">
        <v>218</v>
      </c>
      <c r="D16" s="180">
        <v>5000</v>
      </c>
      <c r="E16" s="180">
        <v>1413.3</v>
      </c>
      <c r="F16" s="115">
        <f>'COMMUNITY SERVICES'!F259</f>
        <v>5000</v>
      </c>
      <c r="G16" s="115">
        <v>0</v>
      </c>
      <c r="H16" s="115">
        <v>0</v>
      </c>
      <c r="I16" s="239"/>
      <c r="J16" s="239">
        <f>'COMMUNITY SERVICES'!J259</f>
        <v>0</v>
      </c>
    </row>
    <row r="17" spans="1:10" s="35" customFormat="1">
      <c r="A17" s="35">
        <v>268</v>
      </c>
      <c r="B17" s="35">
        <v>284</v>
      </c>
      <c r="C17" s="35" t="s">
        <v>221</v>
      </c>
      <c r="D17" s="180">
        <v>335000</v>
      </c>
      <c r="E17" s="180">
        <v>163846.13</v>
      </c>
      <c r="F17" s="115">
        <f>'COMMUNITY SERVICES'!F260</f>
        <v>160000</v>
      </c>
      <c r="G17" s="115">
        <v>135546.84</v>
      </c>
      <c r="H17" s="115">
        <v>280000</v>
      </c>
      <c r="I17" s="239"/>
      <c r="J17" s="239">
        <f>'COMMUNITY SERVICES'!J260</f>
        <v>300000</v>
      </c>
    </row>
    <row r="18" spans="1:10">
      <c r="A18">
        <v>274</v>
      </c>
      <c r="B18">
        <v>266</v>
      </c>
      <c r="C18" t="s">
        <v>414</v>
      </c>
      <c r="D18" s="180">
        <v>120000</v>
      </c>
      <c r="E18" s="180">
        <v>7395</v>
      </c>
      <c r="F18" s="115">
        <f>FINANCE!F23</f>
        <v>10000</v>
      </c>
      <c r="G18" s="115">
        <v>4560</v>
      </c>
      <c r="H18" s="115">
        <f t="shared" si="0"/>
        <v>10000</v>
      </c>
      <c r="I18" s="239"/>
      <c r="J18" s="355">
        <f>FINANCE!J23</f>
        <v>120000</v>
      </c>
    </row>
    <row r="19" spans="1:10">
      <c r="A19">
        <v>275</v>
      </c>
      <c r="B19">
        <v>280</v>
      </c>
      <c r="C19" t="s">
        <v>469</v>
      </c>
      <c r="D19" s="180">
        <v>300000</v>
      </c>
      <c r="E19" s="180">
        <v>0</v>
      </c>
      <c r="F19" s="115">
        <f>TECHNICAL!F24</f>
        <v>0</v>
      </c>
      <c r="G19" s="115">
        <v>0</v>
      </c>
      <c r="H19" s="115">
        <f t="shared" si="0"/>
        <v>0</v>
      </c>
      <c r="I19" s="239"/>
      <c r="J19" s="371">
        <f>TECHNICAL!J24</f>
        <v>0</v>
      </c>
    </row>
    <row r="20" spans="1:10">
      <c r="A20">
        <v>275</v>
      </c>
      <c r="B20">
        <v>284</v>
      </c>
      <c r="C20" t="s">
        <v>221</v>
      </c>
      <c r="D20" s="180">
        <v>318000</v>
      </c>
      <c r="E20" s="180">
        <v>410691.14</v>
      </c>
      <c r="F20" s="115">
        <f>TECHNICAL!F25</f>
        <v>630000</v>
      </c>
      <c r="G20" s="115">
        <v>153279</v>
      </c>
      <c r="H20" s="115">
        <v>300000</v>
      </c>
      <c r="I20" s="239"/>
      <c r="J20" s="371">
        <f>TECHNICAL!J25</f>
        <v>400000</v>
      </c>
    </row>
    <row r="21" spans="1:10" s="35" customFormat="1">
      <c r="A21" s="35">
        <v>275</v>
      </c>
      <c r="B21" s="35">
        <v>285</v>
      </c>
      <c r="C21" s="35" t="s">
        <v>471</v>
      </c>
      <c r="D21" s="115">
        <v>1791000</v>
      </c>
      <c r="E21" s="115">
        <v>1145765.24</v>
      </c>
      <c r="F21" s="115">
        <v>1000000</v>
      </c>
      <c r="G21" s="115">
        <v>1056679.67</v>
      </c>
      <c r="H21" s="115">
        <v>1400000</v>
      </c>
      <c r="I21" s="239"/>
      <c r="J21" s="371">
        <f>TECHNICAL!J26</f>
        <v>1200000</v>
      </c>
    </row>
    <row r="22" spans="1:10">
      <c r="A22">
        <v>275</v>
      </c>
      <c r="B22">
        <v>286</v>
      </c>
      <c r="C22" t="s">
        <v>473</v>
      </c>
      <c r="D22" s="115">
        <v>100000</v>
      </c>
      <c r="E22" s="115">
        <v>0</v>
      </c>
      <c r="F22" s="115">
        <v>50000</v>
      </c>
      <c r="G22" s="133">
        <v>0</v>
      </c>
      <c r="H22" s="115">
        <f t="shared" si="0"/>
        <v>50000</v>
      </c>
      <c r="I22" s="239"/>
      <c r="J22" s="371">
        <f>TECHNICAL!J27</f>
        <v>20000</v>
      </c>
    </row>
    <row r="23" spans="1:10">
      <c r="A23">
        <v>275</v>
      </c>
      <c r="B23">
        <v>293</v>
      </c>
      <c r="C23" t="s">
        <v>475</v>
      </c>
      <c r="D23" s="115">
        <v>387000</v>
      </c>
      <c r="E23" s="115">
        <v>63806</v>
      </c>
      <c r="F23" s="115">
        <v>250000</v>
      </c>
      <c r="G23" s="133">
        <v>0</v>
      </c>
      <c r="H23" s="115">
        <f t="shared" si="0"/>
        <v>250000</v>
      </c>
      <c r="I23" s="239"/>
      <c r="J23" s="371">
        <f>TECHNICAL!J28</f>
        <v>0</v>
      </c>
    </row>
    <row r="24" spans="1:10" s="35" customFormat="1">
      <c r="A24" s="35">
        <v>275</v>
      </c>
      <c r="B24" s="35">
        <v>295</v>
      </c>
      <c r="C24" s="35" t="s">
        <v>477</v>
      </c>
      <c r="D24" s="115">
        <v>500000</v>
      </c>
      <c r="E24" s="115">
        <v>110950</v>
      </c>
      <c r="F24" s="115">
        <v>500000</v>
      </c>
      <c r="G24" s="133">
        <v>0</v>
      </c>
      <c r="H24" s="115">
        <f t="shared" si="0"/>
        <v>500000</v>
      </c>
      <c r="I24" s="239"/>
      <c r="J24" s="371">
        <f>TECHNICAL!J29</f>
        <v>600000</v>
      </c>
    </row>
    <row r="25" spans="1:10">
      <c r="A25">
        <v>281</v>
      </c>
      <c r="B25">
        <v>278</v>
      </c>
      <c r="C25" t="s">
        <v>218</v>
      </c>
      <c r="D25" s="180">
        <v>50000</v>
      </c>
      <c r="E25" s="180">
        <v>25126.45</v>
      </c>
      <c r="F25" s="115">
        <v>40000</v>
      </c>
      <c r="G25" s="133">
        <v>28999</v>
      </c>
      <c r="H25" s="115">
        <f t="shared" si="0"/>
        <v>40000</v>
      </c>
      <c r="I25" s="239"/>
      <c r="J25" s="355">
        <f>'COMMUNITY SERVICES'!J309</f>
        <v>30000</v>
      </c>
    </row>
    <row r="26" spans="1:10">
      <c r="A26">
        <v>281</v>
      </c>
      <c r="B26">
        <v>284</v>
      </c>
      <c r="C26" t="s">
        <v>221</v>
      </c>
      <c r="D26" s="180">
        <v>15000</v>
      </c>
      <c r="E26" s="180">
        <v>8388.75</v>
      </c>
      <c r="F26" s="115">
        <v>15000</v>
      </c>
      <c r="G26" s="133">
        <v>23704.63</v>
      </c>
      <c r="H26" s="115">
        <v>45000</v>
      </c>
      <c r="I26" s="239"/>
      <c r="J26" s="355">
        <f>'COMMUNITY SERVICES'!J310</f>
        <v>50000</v>
      </c>
    </row>
    <row r="27" spans="1:10">
      <c r="A27">
        <v>290</v>
      </c>
      <c r="B27">
        <v>264</v>
      </c>
      <c r="C27" t="s">
        <v>214</v>
      </c>
      <c r="D27" s="180">
        <v>20000</v>
      </c>
      <c r="E27" s="180">
        <v>8592.2199999999993</v>
      </c>
      <c r="F27" s="115">
        <v>40000</v>
      </c>
      <c r="G27" s="133">
        <v>931.77</v>
      </c>
      <c r="H27" s="115">
        <v>7000</v>
      </c>
      <c r="I27" s="239"/>
      <c r="J27" s="239">
        <f>TECHNICAL!J91</f>
        <v>20000</v>
      </c>
    </row>
    <row r="28" spans="1:10">
      <c r="A28">
        <v>290</v>
      </c>
      <c r="B28">
        <v>278</v>
      </c>
      <c r="C28" t="s">
        <v>218</v>
      </c>
      <c r="D28" s="180">
        <v>915000</v>
      </c>
      <c r="E28" s="180">
        <v>146387.45000000001</v>
      </c>
      <c r="F28" s="115">
        <v>800000</v>
      </c>
      <c r="G28" s="133">
        <v>48300</v>
      </c>
      <c r="H28" s="115">
        <v>500000</v>
      </c>
      <c r="I28" s="239"/>
      <c r="J28" s="239">
        <f>TECHNICAL!J92</f>
        <v>600000</v>
      </c>
    </row>
    <row r="29" spans="1:10">
      <c r="A29">
        <v>290</v>
      </c>
      <c r="B29">
        <v>280</v>
      </c>
      <c r="C29" t="s">
        <v>551</v>
      </c>
      <c r="D29" s="180">
        <v>1300000</v>
      </c>
      <c r="E29" s="180">
        <v>1430646.28</v>
      </c>
      <c r="F29" s="115">
        <v>1338203</v>
      </c>
      <c r="G29" s="133">
        <v>370879.26</v>
      </c>
      <c r="H29" s="115">
        <f t="shared" si="0"/>
        <v>1338203</v>
      </c>
      <c r="I29" s="239"/>
      <c r="J29" s="239">
        <f>TECHNICAL!J93</f>
        <v>1200000</v>
      </c>
    </row>
    <row r="30" spans="1:10">
      <c r="A30">
        <v>290</v>
      </c>
      <c r="B30">
        <v>283</v>
      </c>
      <c r="C30" t="s">
        <v>553</v>
      </c>
      <c r="D30" s="180">
        <v>280000</v>
      </c>
      <c r="E30" s="180">
        <v>191311.94</v>
      </c>
      <c r="F30" s="115">
        <v>300000</v>
      </c>
      <c r="G30" s="133">
        <v>28868.400000000001</v>
      </c>
      <c r="H30" s="115">
        <f>F30</f>
        <v>300000</v>
      </c>
      <c r="I30" s="239"/>
      <c r="J30" s="239">
        <f>TECHNICAL!J94</f>
        <v>350000</v>
      </c>
    </row>
    <row r="31" spans="1:10">
      <c r="A31">
        <v>290</v>
      </c>
      <c r="B31">
        <v>284</v>
      </c>
      <c r="C31" s="90" t="s">
        <v>221</v>
      </c>
      <c r="D31" s="180">
        <v>135000</v>
      </c>
      <c r="E31" s="180">
        <v>71297.350000000006</v>
      </c>
      <c r="F31" s="115">
        <v>150000</v>
      </c>
      <c r="G31" s="133">
        <v>73600.820000000007</v>
      </c>
      <c r="H31" s="115">
        <f t="shared" si="0"/>
        <v>150000</v>
      </c>
      <c r="I31" s="239"/>
      <c r="J31" s="239">
        <f>TECHNICAL!J95</f>
        <v>150000</v>
      </c>
    </row>
    <row r="32" spans="1:10">
      <c r="A32">
        <v>291</v>
      </c>
      <c r="B32">
        <v>264</v>
      </c>
      <c r="C32" s="300" t="s">
        <v>1099</v>
      </c>
      <c r="H32" s="115"/>
      <c r="I32" s="239"/>
      <c r="J32" s="356">
        <f>TECHNICAL!J156</f>
        <v>0</v>
      </c>
    </row>
    <row r="33" spans="1:10">
      <c r="A33" s="35">
        <v>291</v>
      </c>
      <c r="B33" s="35">
        <v>270</v>
      </c>
      <c r="C33" s="90" t="s">
        <v>596</v>
      </c>
      <c r="D33" s="180">
        <v>432000</v>
      </c>
      <c r="E33" s="180">
        <v>230745.8</v>
      </c>
      <c r="F33" s="115">
        <v>500000</v>
      </c>
      <c r="G33" s="133">
        <v>58337.57</v>
      </c>
      <c r="H33" s="115">
        <f t="shared" si="0"/>
        <v>500000</v>
      </c>
      <c r="I33" s="239"/>
      <c r="J33" s="356">
        <f>TECHNICAL!J157</f>
        <v>600000</v>
      </c>
    </row>
    <row r="34" spans="1:10">
      <c r="A34" s="35">
        <v>291</v>
      </c>
      <c r="B34" s="35">
        <v>278</v>
      </c>
      <c r="C34" t="s">
        <v>218</v>
      </c>
      <c r="D34" s="180">
        <v>300</v>
      </c>
      <c r="E34" s="180">
        <v>306.20999999999998</v>
      </c>
      <c r="F34" s="115">
        <v>0</v>
      </c>
      <c r="G34" s="133">
        <v>0</v>
      </c>
      <c r="H34" s="115">
        <f t="shared" si="0"/>
        <v>0</v>
      </c>
      <c r="I34" s="239"/>
      <c r="J34" s="356">
        <f>TECHNICAL!J158</f>
        <v>0</v>
      </c>
    </row>
    <row r="35" spans="1:10">
      <c r="A35" s="35">
        <v>291</v>
      </c>
      <c r="B35" s="35">
        <v>280</v>
      </c>
      <c r="C35" t="s">
        <v>551</v>
      </c>
      <c r="D35" s="180">
        <v>1600000</v>
      </c>
      <c r="E35" s="180">
        <v>245612.96</v>
      </c>
      <c r="F35" s="115">
        <v>600000</v>
      </c>
      <c r="G35" s="133">
        <v>262</v>
      </c>
      <c r="H35" s="115">
        <v>500000</v>
      </c>
      <c r="I35" s="239"/>
      <c r="J35" s="356">
        <f>TECHNICAL!J159</f>
        <v>600000</v>
      </c>
    </row>
    <row r="36" spans="1:10" s="35" customFormat="1">
      <c r="A36" s="35">
        <v>291</v>
      </c>
      <c r="B36" s="35">
        <v>284</v>
      </c>
      <c r="C36" s="35" t="s">
        <v>221</v>
      </c>
      <c r="D36" s="180">
        <v>263000</v>
      </c>
      <c r="E36" s="180">
        <v>186661.58</v>
      </c>
      <c r="F36" s="115">
        <v>263000</v>
      </c>
      <c r="G36" s="115">
        <v>262117.95</v>
      </c>
      <c r="H36" s="115">
        <v>467000</v>
      </c>
      <c r="I36" s="239"/>
      <c r="J36" s="356">
        <f>TECHNICAL!J160</f>
        <v>550000</v>
      </c>
    </row>
    <row r="37" spans="1:10" s="35" customFormat="1">
      <c r="A37" s="35">
        <v>291</v>
      </c>
      <c r="B37" s="35">
        <v>292</v>
      </c>
      <c r="C37" s="35" t="s">
        <v>1100</v>
      </c>
      <c r="D37" s="180"/>
      <c r="E37" s="180"/>
      <c r="F37" s="115"/>
      <c r="G37" s="115"/>
      <c r="H37" s="115"/>
      <c r="I37" s="239"/>
      <c r="J37" s="356">
        <f>TECHNICAL!J161</f>
        <v>10000</v>
      </c>
    </row>
    <row r="38" spans="1:10" ht="409.6">
      <c r="A38">
        <v>293</v>
      </c>
      <c r="B38">
        <v>264</v>
      </c>
      <c r="C38" t="s">
        <v>644</v>
      </c>
      <c r="D38" s="180">
        <v>1700</v>
      </c>
      <c r="E38" s="180">
        <v>1306.6400000000001</v>
      </c>
      <c r="F38" s="115">
        <v>2000</v>
      </c>
      <c r="G38" s="115">
        <v>1456.09</v>
      </c>
      <c r="H38" s="115">
        <f t="shared" si="0"/>
        <v>2000</v>
      </c>
      <c r="I38" s="239"/>
      <c r="J38" s="27">
        <f>TECHNICAL!J221</f>
        <v>2000</v>
      </c>
    </row>
    <row r="39" spans="1:10" ht="409.6">
      <c r="A39">
        <v>293</v>
      </c>
      <c r="B39">
        <v>270</v>
      </c>
      <c r="C39" t="s">
        <v>596</v>
      </c>
      <c r="D39" s="180">
        <v>3638346.88</v>
      </c>
      <c r="E39" s="180">
        <v>1918231.52</v>
      </c>
      <c r="F39" s="115">
        <v>1900000</v>
      </c>
      <c r="G39" s="115">
        <v>387380.02</v>
      </c>
      <c r="H39" s="115">
        <f t="shared" si="0"/>
        <v>1900000</v>
      </c>
      <c r="I39" s="239"/>
      <c r="J39" s="27">
        <f>TECHNICAL!J222</f>
        <v>1400000</v>
      </c>
    </row>
    <row r="40" spans="1:10" ht="409.6">
      <c r="A40">
        <v>293</v>
      </c>
      <c r="B40">
        <v>278</v>
      </c>
      <c r="C40" t="s">
        <v>218</v>
      </c>
      <c r="D40" s="180">
        <v>50000</v>
      </c>
      <c r="E40" s="180">
        <v>196065.53</v>
      </c>
      <c r="F40" s="115">
        <v>200000</v>
      </c>
      <c r="G40" s="115">
        <v>0</v>
      </c>
      <c r="H40" s="115">
        <f t="shared" si="0"/>
        <v>200000</v>
      </c>
      <c r="I40" s="239"/>
      <c r="J40" s="27">
        <f>TECHNICAL!J223</f>
        <v>0</v>
      </c>
    </row>
    <row r="41" spans="1:10" ht="409.6">
      <c r="A41">
        <v>293</v>
      </c>
      <c r="B41">
        <v>280</v>
      </c>
      <c r="C41" t="s">
        <v>551</v>
      </c>
      <c r="D41" s="180">
        <v>1259000</v>
      </c>
      <c r="E41" s="180">
        <v>678574.62</v>
      </c>
      <c r="F41" s="115">
        <v>1000000</v>
      </c>
      <c r="G41" s="115">
        <v>552740.01</v>
      </c>
      <c r="H41" s="115">
        <f t="shared" si="0"/>
        <v>1000000</v>
      </c>
      <c r="I41" s="239"/>
      <c r="J41" s="27">
        <f>TECHNICAL!J224</f>
        <v>1000000</v>
      </c>
    </row>
    <row r="42" spans="1:10" s="35" customFormat="1" ht="409.6">
      <c r="A42" s="35">
        <v>293</v>
      </c>
      <c r="B42" s="35">
        <v>284</v>
      </c>
      <c r="C42" s="35" t="s">
        <v>221</v>
      </c>
      <c r="D42" s="180">
        <v>43000</v>
      </c>
      <c r="E42" s="180">
        <v>44985.91</v>
      </c>
      <c r="F42" s="115">
        <v>50000</v>
      </c>
      <c r="G42" s="115">
        <v>48146.7</v>
      </c>
      <c r="H42" s="115">
        <v>100000</v>
      </c>
      <c r="I42" s="239"/>
      <c r="J42" s="27">
        <f>TECHNICAL!J225</f>
        <v>100000</v>
      </c>
    </row>
    <row r="43" spans="1:10" ht="409.6">
      <c r="H43" s="164"/>
      <c r="I43" s="243"/>
    </row>
    <row r="44" spans="1:10" ht="15.75" thickBot="1">
      <c r="D44" s="203">
        <f t="shared" ref="D44:I44" si="1">SUM(D3:D42)</f>
        <v>15092346.879999999</v>
      </c>
      <c r="E44" s="203">
        <f t="shared" si="1"/>
        <v>7800143.25</v>
      </c>
      <c r="F44" s="199">
        <f t="shared" si="1"/>
        <v>10897913.225</v>
      </c>
      <c r="G44" s="200">
        <f t="shared" si="1"/>
        <v>4027971.6099999994</v>
      </c>
      <c r="H44" s="199">
        <f t="shared" si="1"/>
        <v>11157913.225</v>
      </c>
      <c r="I44" s="254">
        <f t="shared" si="1"/>
        <v>0</v>
      </c>
      <c r="J44" s="201">
        <f>SUM(J3:J42)</f>
        <v>11212536.571428571</v>
      </c>
    </row>
    <row r="45" spans="1:10" ht="15.75" thickTop="1">
      <c r="H45" s="164"/>
      <c r="I45" s="243"/>
    </row>
    <row r="46" spans="1:10" ht="409.6">
      <c r="H46" s="164"/>
      <c r="I46" s="243"/>
    </row>
    <row r="47" spans="1:10" ht="409.6">
      <c r="H47" s="164"/>
      <c r="I47" s="243"/>
    </row>
    <row r="48" spans="1:10" ht="409.6">
      <c r="H48" s="164"/>
      <c r="I48" s="243"/>
    </row>
    <row r="49" spans="8:9" ht="409.6">
      <c r="H49" s="164"/>
      <c r="I49" s="243"/>
    </row>
    <row r="50" spans="8:9" ht="409.6">
      <c r="H50" s="164"/>
      <c r="I50" s="243"/>
    </row>
    <row r="51" spans="8:9" ht="409.6">
      <c r="H51" s="164"/>
      <c r="I51" s="243"/>
    </row>
    <row r="52" spans="8:9" ht="409.6">
      <c r="H52" s="164"/>
      <c r="I52" s="243"/>
    </row>
    <row r="53" spans="8:9" ht="409.6">
      <c r="H53" s="164"/>
      <c r="I53" s="243"/>
    </row>
    <row r="54" spans="8:9" ht="409.6">
      <c r="H54" s="164"/>
      <c r="I54" s="243"/>
    </row>
    <row r="55" spans="8:9" ht="409.6">
      <c r="H55" s="164"/>
      <c r="I55" s="243"/>
    </row>
    <row r="56" spans="8:9" ht="409.6">
      <c r="H56" s="164"/>
      <c r="I56" s="243"/>
    </row>
    <row r="57" spans="8:9" ht="409.6">
      <c r="H57" s="164"/>
      <c r="I57" s="243"/>
    </row>
    <row r="58" spans="8:9" ht="409.6">
      <c r="H58" s="164"/>
      <c r="I58" s="243"/>
    </row>
    <row r="59" spans="8:9" ht="409.6">
      <c r="H59" s="164"/>
      <c r="I59" s="243"/>
    </row>
    <row r="60" spans="8:9" ht="409.6">
      <c r="H60" s="164"/>
      <c r="I60" s="243"/>
    </row>
    <row r="61" spans="8:9" ht="409.6">
      <c r="H61" s="164"/>
      <c r="I61" s="243"/>
    </row>
    <row r="62" spans="8:9" ht="409.6">
      <c r="H62" s="164"/>
      <c r="I62" s="243"/>
    </row>
    <row r="63" spans="8:9" ht="409.6">
      <c r="H63" s="164"/>
      <c r="I63" s="243"/>
    </row>
    <row r="64" spans="8:9" ht="409.6">
      <c r="H64" s="164"/>
      <c r="I64" s="243"/>
    </row>
    <row r="65" spans="8:9" ht="409.6">
      <c r="H65" s="164"/>
      <c r="I65" s="243"/>
    </row>
    <row r="66" spans="8:9" ht="409.6">
      <c r="H66" s="164"/>
      <c r="I66" s="243"/>
    </row>
    <row r="67" spans="8:9" ht="409.6">
      <c r="H67" s="164"/>
      <c r="I67" s="243"/>
    </row>
    <row r="68" spans="8:9" ht="409.6">
      <c r="H68" s="164"/>
      <c r="I68" s="243"/>
    </row>
    <row r="69" spans="8:9" ht="409.6">
      <c r="H69" s="164"/>
      <c r="I69" s="243"/>
    </row>
    <row r="70" spans="8:9" ht="409.6">
      <c r="H70" s="164"/>
      <c r="I70" s="243"/>
    </row>
    <row r="71" spans="8:9" ht="409.6">
      <c r="H71" s="164"/>
      <c r="I71" s="243"/>
    </row>
    <row r="72" spans="8:9" ht="409.6">
      <c r="H72" s="164"/>
      <c r="I72" s="243"/>
    </row>
    <row r="73" spans="8:9" ht="409.6">
      <c r="H73" s="164"/>
      <c r="I73" s="243"/>
    </row>
    <row r="74" spans="8:9" ht="409.6">
      <c r="H74" s="164"/>
      <c r="I74" s="243"/>
    </row>
    <row r="75" spans="8:9" ht="409.6">
      <c r="H75" s="164"/>
      <c r="I75" s="243"/>
    </row>
    <row r="76" spans="8:9" ht="409.6">
      <c r="H76" s="164"/>
      <c r="I76" s="243"/>
    </row>
    <row r="77" spans="8:9" ht="409.6">
      <c r="H77" s="164"/>
      <c r="I77" s="243"/>
    </row>
    <row r="78" spans="8:9" ht="409.6">
      <c r="H78" s="164"/>
      <c r="I78" s="243"/>
    </row>
    <row r="79" spans="8:9" ht="409.6">
      <c r="H79" s="164"/>
      <c r="I79" s="243"/>
    </row>
    <row r="80" spans="8:9" ht="409.6">
      <c r="H80" s="164"/>
      <c r="I80" s="243"/>
    </row>
    <row r="81" spans="8:9" ht="409.6">
      <c r="H81" s="164"/>
      <c r="I81" s="243"/>
    </row>
    <row r="82" spans="8:9" ht="409.6">
      <c r="H82" s="164"/>
      <c r="I82" s="243"/>
    </row>
    <row r="83" spans="8:9" ht="409.6">
      <c r="H83" s="164"/>
      <c r="I83" s="243"/>
    </row>
    <row r="84" spans="8:9" ht="409.6">
      <c r="H84" s="164"/>
      <c r="I84" s="243"/>
    </row>
    <row r="85" spans="8:9" ht="409.6">
      <c r="H85" s="164"/>
      <c r="I85" s="243"/>
    </row>
    <row r="86" spans="8:9" ht="409.6">
      <c r="H86" s="164"/>
      <c r="I86" s="243"/>
    </row>
    <row r="87" spans="8:9" ht="409.6">
      <c r="H87" s="164"/>
      <c r="I87" s="243"/>
    </row>
    <row r="88" spans="8:9" ht="409.6">
      <c r="H88" s="164"/>
      <c r="I88" s="243"/>
    </row>
    <row r="89" spans="8:9" ht="409.6">
      <c r="H89" s="164"/>
      <c r="I89" s="243"/>
    </row>
  </sheetData>
  <pageMargins left="0.7" right="0.7" top="0.75" bottom="0.75" header="0.3" footer="0.3"/>
  <pageSetup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5" zoomScaleNormal="100" workbookViewId="0">
      <selection activeCell="J16" sqref="J16"/>
    </sheetView>
  </sheetViews>
  <sheetFormatPr defaultRowHeight="15"/>
  <cols>
    <col min="3" max="3" width="42.28515625" bestFit="1" customWidth="1"/>
    <col min="4" max="4" width="14.7109375" bestFit="1" customWidth="1"/>
    <col min="5" max="5" width="24" hidden="1" customWidth="1"/>
    <col min="6" max="6" width="14.7109375" bestFit="1" customWidth="1"/>
    <col min="7" max="7" width="20.7109375" hidden="1" customWidth="1"/>
    <col min="8" max="8" width="26" bestFit="1" customWidth="1"/>
    <col min="9" max="9" width="25.7109375" bestFit="1" customWidth="1"/>
    <col min="10" max="10" width="19.7109375" bestFit="1" customWidth="1"/>
    <col min="11" max="11" width="13.140625" bestFit="1" customWidth="1"/>
  </cols>
  <sheetData>
    <row r="1" spans="1:13">
      <c r="A1" s="26" t="s">
        <v>1144</v>
      </c>
    </row>
    <row r="3" spans="1:13" ht="15.75" thickBot="1"/>
    <row r="4" spans="1:13" s="1" customFormat="1" ht="15.75" thickBot="1">
      <c r="A4" s="149" t="s">
        <v>4</v>
      </c>
      <c r="B4" s="150" t="s">
        <v>5</v>
      </c>
      <c r="C4" s="151" t="s">
        <v>6</v>
      </c>
      <c r="D4" s="152" t="s">
        <v>916</v>
      </c>
      <c r="E4" s="153" t="s">
        <v>920</v>
      </c>
      <c r="F4" s="152" t="s">
        <v>1102</v>
      </c>
      <c r="G4" s="152" t="s">
        <v>1104</v>
      </c>
      <c r="H4" s="152" t="s">
        <v>1103</v>
      </c>
      <c r="I4" s="152" t="s">
        <v>1118</v>
      </c>
      <c r="J4" s="246" t="s">
        <v>1123</v>
      </c>
      <c r="K4" s="231"/>
      <c r="L4" s="44"/>
      <c r="M4" s="44"/>
    </row>
    <row r="5" spans="1:13" s="1" customFormat="1">
      <c r="A5" s="267"/>
      <c r="B5" s="267"/>
      <c r="C5" s="267"/>
      <c r="D5" s="231"/>
      <c r="E5" s="231"/>
      <c r="F5" s="231"/>
      <c r="G5" s="231"/>
      <c r="H5" s="231"/>
      <c r="I5" s="231"/>
      <c r="J5" s="231"/>
      <c r="K5" s="231"/>
      <c r="L5" s="44"/>
      <c r="M5" s="44"/>
    </row>
    <row r="6" spans="1:13" s="71" customFormat="1">
      <c r="A6" s="72" t="s">
        <v>1145</v>
      </c>
      <c r="B6" s="72"/>
      <c r="C6" s="72"/>
      <c r="D6" s="73"/>
      <c r="E6" s="73"/>
      <c r="F6" s="73"/>
      <c r="G6" s="73"/>
      <c r="H6" s="73"/>
      <c r="I6" s="73"/>
      <c r="J6" s="73"/>
      <c r="K6" s="73"/>
      <c r="L6" s="70"/>
      <c r="M6" s="70"/>
    </row>
    <row r="7" spans="1:13">
      <c r="A7" s="337">
        <v>244</v>
      </c>
      <c r="B7" s="337">
        <v>135</v>
      </c>
      <c r="C7" s="337" t="s">
        <v>189</v>
      </c>
      <c r="D7" s="338">
        <v>100000</v>
      </c>
      <c r="E7" s="338">
        <v>80668.69</v>
      </c>
      <c r="F7" s="338">
        <f>L7*6/100+L7</f>
        <v>0</v>
      </c>
      <c r="G7" s="338">
        <v>79653.06</v>
      </c>
      <c r="H7" s="338">
        <v>160000</v>
      </c>
      <c r="I7" s="338">
        <v>84076.63</v>
      </c>
      <c r="J7" s="338">
        <v>3080788.54</v>
      </c>
    </row>
    <row r="8" spans="1:13">
      <c r="A8" s="90">
        <v>275</v>
      </c>
      <c r="B8" s="90"/>
      <c r="C8" s="337" t="s">
        <v>577</v>
      </c>
      <c r="D8" s="338"/>
      <c r="E8" s="338"/>
      <c r="F8" s="338"/>
      <c r="G8" s="338"/>
      <c r="H8" s="338"/>
      <c r="I8" s="338"/>
      <c r="J8" s="338">
        <v>2200462.9700000002</v>
      </c>
    </row>
    <row r="9" spans="1:13">
      <c r="A9" s="337">
        <v>290</v>
      </c>
      <c r="B9" s="337">
        <v>135</v>
      </c>
      <c r="C9" s="337" t="s">
        <v>189</v>
      </c>
      <c r="D9" s="338">
        <v>2000000</v>
      </c>
      <c r="E9" s="338">
        <v>1816928.49</v>
      </c>
      <c r="F9" s="338">
        <v>2700000</v>
      </c>
      <c r="G9" s="338">
        <v>6919153.3899999997</v>
      </c>
      <c r="H9" s="338">
        <v>2700000</v>
      </c>
      <c r="I9" s="338">
        <v>10821365.199999999</v>
      </c>
      <c r="J9" s="338">
        <v>0</v>
      </c>
      <c r="K9" s="345">
        <v>798787.84</v>
      </c>
    </row>
    <row r="10" spans="1:13">
      <c r="A10" s="337">
        <v>291</v>
      </c>
      <c r="B10" s="337">
        <v>135</v>
      </c>
      <c r="C10" s="337" t="s">
        <v>189</v>
      </c>
      <c r="D10" s="338">
        <v>200000</v>
      </c>
      <c r="E10" s="338">
        <v>170386.04</v>
      </c>
      <c r="F10" s="338">
        <v>300000</v>
      </c>
      <c r="G10" s="338">
        <v>167135.62</v>
      </c>
      <c r="H10" s="338">
        <v>300000</v>
      </c>
      <c r="I10" s="338">
        <v>200880.57</v>
      </c>
      <c r="J10" s="338">
        <v>3000000</v>
      </c>
    </row>
    <row r="11" spans="1:13" ht="15.75" thickBot="1">
      <c r="A11" s="337">
        <v>293</v>
      </c>
      <c r="B11" s="337">
        <v>135</v>
      </c>
      <c r="C11" s="337" t="s">
        <v>189</v>
      </c>
      <c r="D11" s="338">
        <v>5500000</v>
      </c>
      <c r="E11" s="338">
        <v>4677949.45</v>
      </c>
      <c r="F11" s="338">
        <v>4600000</v>
      </c>
      <c r="G11" s="338">
        <v>1806431.96</v>
      </c>
      <c r="H11" s="338">
        <v>4600000</v>
      </c>
      <c r="I11" s="338">
        <v>1860637.45</v>
      </c>
      <c r="J11" s="343">
        <v>5031879.34</v>
      </c>
    </row>
    <row r="12" spans="1:13" ht="15.75" thickBot="1">
      <c r="J12" s="344">
        <f>SUM(J7:J11)</f>
        <v>13313130.85</v>
      </c>
    </row>
    <row r="15" spans="1:13">
      <c r="A15" s="1" t="s">
        <v>1146</v>
      </c>
    </row>
    <row r="16" spans="1:13" ht="15.75" thickBot="1">
      <c r="A16" s="340">
        <v>290</v>
      </c>
      <c r="B16" s="340"/>
      <c r="C16" s="339" t="s">
        <v>1140</v>
      </c>
      <c r="D16" s="341">
        <v>0</v>
      </c>
      <c r="E16" s="341"/>
      <c r="F16" s="341">
        <v>0</v>
      </c>
      <c r="G16" s="341"/>
      <c r="H16" s="341">
        <v>0</v>
      </c>
      <c r="I16" s="341">
        <v>0</v>
      </c>
      <c r="J16" s="342">
        <v>-13313130.85</v>
      </c>
    </row>
    <row r="17" spans="9:10" ht="15.75" thickBot="1">
      <c r="J17" s="344">
        <f>J16</f>
        <v>-13313130.85</v>
      </c>
    </row>
    <row r="20" spans="9:10">
      <c r="I20" t="s">
        <v>1147</v>
      </c>
      <c r="J20" s="27">
        <f>J12</f>
        <v>13313130.85</v>
      </c>
    </row>
    <row r="21" spans="9:10">
      <c r="I21" t="s">
        <v>1148</v>
      </c>
      <c r="J21" s="27">
        <f>J17</f>
        <v>-13313130.85</v>
      </c>
    </row>
    <row r="22" spans="9:10" ht="15.75" thickBot="1">
      <c r="J22" s="50">
        <f>J20+J21</f>
        <v>0</v>
      </c>
    </row>
    <row r="23" spans="9:10" ht="15.75" thickTop="1"/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I5" sqref="I5"/>
    </sheetView>
  </sheetViews>
  <sheetFormatPr defaultRowHeight="15"/>
  <cols>
    <col min="1" max="1" width="9.28515625" bestFit="1" customWidth="1"/>
    <col min="2" max="2" width="5.28515625" bestFit="1" customWidth="1"/>
    <col min="3" max="3" width="21.85546875" bestFit="1" customWidth="1"/>
    <col min="4" max="4" width="26.140625" bestFit="1" customWidth="1"/>
    <col min="5" max="5" width="24.140625" hidden="1" customWidth="1"/>
    <col min="6" max="6" width="19.85546875" bestFit="1" customWidth="1"/>
    <col min="7" max="7" width="20.7109375" hidden="1" customWidth="1"/>
    <col min="8" max="8" width="26" bestFit="1" customWidth="1"/>
    <col min="9" max="9" width="26" customWidth="1"/>
    <col min="10" max="10" width="16.140625" bestFit="1" customWidth="1"/>
  </cols>
  <sheetData>
    <row r="1" spans="1:11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27"/>
      <c r="K1" s="27"/>
    </row>
    <row r="2" spans="1:11" s="1" customFormat="1" ht="15.75" thickBot="1">
      <c r="A2" s="151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1123</v>
      </c>
      <c r="J2" s="44"/>
      <c r="K2" s="44"/>
    </row>
    <row r="3" spans="1:11" s="71" customFormat="1">
      <c r="A3" s="72"/>
      <c r="B3" s="72"/>
      <c r="C3" s="72"/>
      <c r="D3" s="116"/>
      <c r="E3" s="116"/>
      <c r="F3" s="116"/>
      <c r="G3" s="135"/>
      <c r="H3" s="116"/>
      <c r="I3" s="73"/>
      <c r="J3" s="70"/>
    </row>
    <row r="4" spans="1:11">
      <c r="A4" s="13">
        <v>244</v>
      </c>
      <c r="B4" s="13">
        <v>290</v>
      </c>
      <c r="C4" s="13" t="s">
        <v>223</v>
      </c>
      <c r="D4" s="117">
        <v>1150000</v>
      </c>
      <c r="E4" s="117">
        <v>110552.71</v>
      </c>
      <c r="F4" s="117">
        <v>1016000</v>
      </c>
      <c r="G4" s="136">
        <v>106578.94</v>
      </c>
      <c r="H4" s="117">
        <v>213158</v>
      </c>
      <c r="I4" s="369">
        <f>CORPORATE!J34</f>
        <v>245864.65714285709</v>
      </c>
      <c r="J4" s="140">
        <f t="shared" ref="J4:J12" si="0">+E4/8*12</f>
        <v>165829.065</v>
      </c>
      <c r="K4" s="27"/>
    </row>
    <row r="5" spans="1:11">
      <c r="A5" s="79">
        <v>244</v>
      </c>
      <c r="B5" s="79">
        <v>291</v>
      </c>
      <c r="C5" s="79" t="s">
        <v>224</v>
      </c>
      <c r="D5" s="117">
        <v>2000000</v>
      </c>
      <c r="E5" s="117">
        <v>1373203.36</v>
      </c>
      <c r="F5" s="117">
        <v>2777000</v>
      </c>
      <c r="G5" s="117">
        <v>900104.95</v>
      </c>
      <c r="H5" s="117">
        <v>1800210</v>
      </c>
      <c r="I5" s="84">
        <f>CORPORATE!J35</f>
        <v>1901886.7485714287</v>
      </c>
      <c r="J5" s="140">
        <f t="shared" si="0"/>
        <v>2059805.04</v>
      </c>
      <c r="K5" s="27"/>
    </row>
    <row r="6" spans="1:11">
      <c r="A6" s="13">
        <v>244</v>
      </c>
      <c r="B6" s="13">
        <v>209</v>
      </c>
      <c r="C6" s="13" t="s">
        <v>209</v>
      </c>
      <c r="D6" s="117">
        <v>980000</v>
      </c>
      <c r="E6" s="117">
        <v>764544.91</v>
      </c>
      <c r="F6" s="117">
        <v>441000</v>
      </c>
      <c r="G6" s="136">
        <v>366483.01</v>
      </c>
      <c r="H6" s="117">
        <v>732966</v>
      </c>
      <c r="I6" s="368">
        <f>CORPORATE!J36</f>
        <v>907735.30285714287</v>
      </c>
      <c r="J6" s="140">
        <f t="shared" si="0"/>
        <v>1146817.365</v>
      </c>
      <c r="K6" s="27"/>
    </row>
    <row r="7" spans="1:11">
      <c r="A7" s="13">
        <v>244</v>
      </c>
      <c r="B7" s="13">
        <v>253</v>
      </c>
      <c r="C7" s="13" t="s">
        <v>211</v>
      </c>
      <c r="D7" s="117">
        <v>2000000</v>
      </c>
      <c r="E7" s="117">
        <v>1423760.41</v>
      </c>
      <c r="F7" s="117">
        <v>0</v>
      </c>
      <c r="G7" s="136">
        <v>327781.86</v>
      </c>
      <c r="H7" s="117">
        <v>655564</v>
      </c>
      <c r="I7" s="235">
        <f>CORPORATE!J37</f>
        <v>200000</v>
      </c>
      <c r="J7" s="140">
        <f t="shared" si="0"/>
        <v>2135640.6149999998</v>
      </c>
      <c r="K7" s="27"/>
    </row>
    <row r="8" spans="1:11">
      <c r="A8" s="13">
        <v>244</v>
      </c>
      <c r="B8" s="13">
        <v>173</v>
      </c>
      <c r="C8" s="13" t="s">
        <v>193</v>
      </c>
      <c r="D8" s="117">
        <v>100000</v>
      </c>
      <c r="E8" s="117">
        <v>8094.87</v>
      </c>
      <c r="F8" s="117">
        <v>200000</v>
      </c>
      <c r="G8" s="136">
        <v>10002.6</v>
      </c>
      <c r="H8" s="117">
        <v>200000</v>
      </c>
      <c r="I8" s="370">
        <f>CORPORATE!J38</f>
        <v>10000</v>
      </c>
      <c r="J8" s="140">
        <f t="shared" si="0"/>
        <v>12142.305</v>
      </c>
      <c r="K8" s="27"/>
    </row>
    <row r="9" spans="1:11" s="35" customFormat="1">
      <c r="A9" s="79">
        <v>274</v>
      </c>
      <c r="B9" s="79">
        <v>173</v>
      </c>
      <c r="C9" s="79" t="s">
        <v>394</v>
      </c>
      <c r="D9" s="117">
        <v>1080000</v>
      </c>
      <c r="E9" s="117">
        <v>0</v>
      </c>
      <c r="F9" s="117">
        <v>381000</v>
      </c>
      <c r="G9" s="136">
        <v>0</v>
      </c>
      <c r="H9" s="117">
        <v>0</v>
      </c>
      <c r="I9" s="370">
        <f>FINANCE!J29</f>
        <v>1000000</v>
      </c>
      <c r="J9" s="165">
        <f t="shared" si="0"/>
        <v>0</v>
      </c>
    </row>
    <row r="10" spans="1:11" s="35" customFormat="1">
      <c r="A10" s="79">
        <v>274</v>
      </c>
      <c r="B10" s="79">
        <v>235</v>
      </c>
      <c r="C10" s="79" t="s">
        <v>406</v>
      </c>
      <c r="D10" s="117">
        <v>1510000</v>
      </c>
      <c r="E10" s="117">
        <v>1048675.74</v>
      </c>
      <c r="F10" s="117">
        <v>1500000</v>
      </c>
      <c r="G10" s="136">
        <v>1151395.3899999999</v>
      </c>
      <c r="H10" s="117">
        <v>1316010.74</v>
      </c>
      <c r="I10" s="98">
        <f>FINANCE!J30</f>
        <v>1500000</v>
      </c>
      <c r="J10" s="165">
        <f t="shared" si="0"/>
        <v>1573013.6099999999</v>
      </c>
    </row>
    <row r="11" spans="1:11" s="35" customFormat="1">
      <c r="A11" s="79">
        <v>275</v>
      </c>
      <c r="B11" s="79">
        <v>290</v>
      </c>
      <c r="C11" s="79" t="s">
        <v>223</v>
      </c>
      <c r="D11" s="117">
        <v>0</v>
      </c>
      <c r="E11" s="117">
        <v>342000</v>
      </c>
      <c r="F11" s="117">
        <v>513000</v>
      </c>
      <c r="G11" s="136">
        <v>435850</v>
      </c>
      <c r="H11" s="117">
        <v>871700</v>
      </c>
      <c r="I11" s="369">
        <f>TECHNICAL!J33</f>
        <v>900000</v>
      </c>
      <c r="J11" s="165">
        <f t="shared" si="0"/>
        <v>513000</v>
      </c>
    </row>
    <row r="12" spans="1:11" s="35" customFormat="1">
      <c r="A12" s="79">
        <v>293</v>
      </c>
      <c r="B12" s="79">
        <v>291</v>
      </c>
      <c r="C12" s="79" t="s">
        <v>651</v>
      </c>
      <c r="D12" s="117">
        <v>400000</v>
      </c>
      <c r="E12" s="117">
        <v>67489.47</v>
      </c>
      <c r="F12" s="117">
        <v>102000</v>
      </c>
      <c r="G12" s="136">
        <v>1051500</v>
      </c>
      <c r="H12" s="117">
        <v>2103000</v>
      </c>
      <c r="I12" s="369">
        <f>TECHNICAL!J229</f>
        <v>2300000</v>
      </c>
      <c r="J12" s="165">
        <f t="shared" si="0"/>
        <v>101234.205</v>
      </c>
    </row>
    <row r="13" spans="1:11" ht="15.75" thickBot="1">
      <c r="D13" s="199">
        <f>SUM(D4:D12)</f>
        <v>9220000</v>
      </c>
      <c r="E13" s="202"/>
      <c r="F13" s="199">
        <f>SUM(F4:F12)</f>
        <v>6930000</v>
      </c>
      <c r="G13" s="200">
        <f>SUM(G4:G12)</f>
        <v>4349696.75</v>
      </c>
      <c r="H13" s="199">
        <f>SUM(H4:H12)</f>
        <v>7892608.7400000002</v>
      </c>
      <c r="I13" s="201">
        <f>SUM(I4:I12)</f>
        <v>8965486.7085714284</v>
      </c>
    </row>
    <row r="14" spans="1:11" ht="15.75" thickTop="1"/>
  </sheetData>
  <pageMargins left="0.7" right="0.7" top="0.75" bottom="0.75" header="0.3" footer="0.3"/>
  <pageSetup scale="68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opLeftCell="C9" zoomScaleNormal="100" workbookViewId="0">
      <selection activeCell="J19" sqref="J19"/>
    </sheetView>
  </sheetViews>
  <sheetFormatPr defaultRowHeight="15"/>
  <cols>
    <col min="1" max="2" width="9.28515625" bestFit="1" customWidth="1"/>
    <col min="3" max="3" width="32.7109375" bestFit="1" customWidth="1"/>
    <col min="4" max="4" width="26.140625" style="164" bestFit="1" customWidth="1"/>
    <col min="5" max="5" width="24.140625" style="164" hidden="1" customWidth="1"/>
    <col min="6" max="6" width="19.85546875" style="164" bestFit="1" customWidth="1"/>
    <col min="7" max="7" width="23.85546875" style="172" hidden="1" customWidth="1"/>
    <col min="8" max="8" width="26" bestFit="1" customWidth="1"/>
    <col min="9" max="10" width="26" customWidth="1"/>
    <col min="11" max="11" width="15.42578125" bestFit="1" customWidth="1"/>
    <col min="12" max="12" width="16.140625" bestFit="1" customWidth="1"/>
  </cols>
  <sheetData>
    <row r="1" spans="1:12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1" customFormat="1" ht="15.75" thickBot="1">
      <c r="A2" s="267"/>
      <c r="B2" s="267"/>
      <c r="C2" s="267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1" customFormat="1" ht="15.75" thickBot="1">
      <c r="A3" s="151"/>
      <c r="B3" s="149"/>
      <c r="C3" s="149"/>
      <c r="D3" s="152" t="s">
        <v>916</v>
      </c>
      <c r="E3" s="153"/>
      <c r="F3" s="152" t="s">
        <v>1102</v>
      </c>
      <c r="G3" s="153"/>
      <c r="H3" s="152" t="s">
        <v>1103</v>
      </c>
      <c r="I3" s="176" t="s">
        <v>1118</v>
      </c>
      <c r="J3" s="176" t="s">
        <v>1123</v>
      </c>
      <c r="K3" s="231"/>
      <c r="L3" s="231"/>
    </row>
    <row r="4" spans="1:12" s="1" customFormat="1">
      <c r="A4" s="1" t="s">
        <v>922</v>
      </c>
      <c r="D4" s="121"/>
      <c r="E4" s="121"/>
      <c r="F4" s="121"/>
      <c r="G4" s="121"/>
      <c r="H4" s="121"/>
      <c r="I4" s="242"/>
      <c r="J4" s="31"/>
      <c r="K4" s="44"/>
      <c r="L4" s="44"/>
    </row>
    <row r="5" spans="1:12">
      <c r="A5" s="13">
        <v>219</v>
      </c>
      <c r="B5" s="13">
        <v>193</v>
      </c>
      <c r="C5" s="13" t="s">
        <v>36</v>
      </c>
      <c r="D5" s="117">
        <v>150000</v>
      </c>
      <c r="E5" s="117">
        <v>0</v>
      </c>
      <c r="F5" s="117">
        <v>650000</v>
      </c>
      <c r="G5" s="117">
        <v>326000</v>
      </c>
      <c r="H5" s="269">
        <f>'COMMUNITY SERVICES'!H21</f>
        <v>650000</v>
      </c>
      <c r="I5" s="242">
        <f>'COMMUNITY SERVICES'!I21</f>
        <v>326000</v>
      </c>
      <c r="J5" s="80">
        <f>'COMMUNITY SERVICES'!J21</f>
        <v>0</v>
      </c>
      <c r="K5" s="27"/>
      <c r="L5" s="27"/>
    </row>
    <row r="6" spans="1:12">
      <c r="A6" s="13">
        <v>219</v>
      </c>
      <c r="B6" s="13">
        <v>195</v>
      </c>
      <c r="C6" s="13" t="s">
        <v>38</v>
      </c>
      <c r="D6" s="117">
        <v>45000</v>
      </c>
      <c r="E6" s="117">
        <v>19153.259999999998</v>
      </c>
      <c r="F6" s="117">
        <v>45000</v>
      </c>
      <c r="G6" s="117">
        <v>51475.040000000001</v>
      </c>
      <c r="H6" s="269">
        <f>'COMMUNITY SERVICES'!H22</f>
        <v>80000</v>
      </c>
      <c r="I6" s="242">
        <f>'COMMUNITY SERVICES'!I22</f>
        <v>51475.040000000001</v>
      </c>
      <c r="J6" s="80">
        <f>'COMMUNITY SERVICES'!J22</f>
        <v>60000</v>
      </c>
      <c r="K6" s="27"/>
      <c r="L6" s="27"/>
    </row>
    <row r="7" spans="1:12">
      <c r="A7" s="13">
        <v>219</v>
      </c>
      <c r="B7" s="13">
        <v>201</v>
      </c>
      <c r="C7" s="13" t="s">
        <v>40</v>
      </c>
      <c r="D7" s="117">
        <v>15000</v>
      </c>
      <c r="E7" s="117">
        <v>0</v>
      </c>
      <c r="F7" s="117">
        <v>0</v>
      </c>
      <c r="G7" s="117">
        <v>0</v>
      </c>
      <c r="H7" s="269">
        <f>'COMMUNITY SERVICES'!H23</f>
        <v>0</v>
      </c>
      <c r="I7" s="242">
        <f>'COMMUNITY SERVICES'!I23</f>
        <v>0</v>
      </c>
      <c r="J7" s="80">
        <f>'COMMUNITY SERVICES'!J23</f>
        <v>0</v>
      </c>
      <c r="K7" s="27"/>
      <c r="L7" s="27"/>
    </row>
    <row r="8" spans="1:12">
      <c r="A8" s="13">
        <v>219</v>
      </c>
      <c r="B8" s="13">
        <v>204</v>
      </c>
      <c r="C8" s="13" t="s">
        <v>42</v>
      </c>
      <c r="D8" s="117">
        <v>60000</v>
      </c>
      <c r="E8" s="117">
        <v>3898.62</v>
      </c>
      <c r="F8" s="117">
        <v>0</v>
      </c>
      <c r="G8" s="117">
        <v>2330.69</v>
      </c>
      <c r="H8" s="269">
        <f>'COMMUNITY SERVICES'!H24</f>
        <v>0</v>
      </c>
      <c r="I8" s="242">
        <f>'COMMUNITY SERVICES'!I24</f>
        <v>2330.69</v>
      </c>
      <c r="J8" s="80">
        <f>'COMMUNITY SERVICES'!J24</f>
        <v>0</v>
      </c>
      <c r="K8" s="27"/>
      <c r="L8" s="27"/>
    </row>
    <row r="9" spans="1:12">
      <c r="D9" s="118">
        <f t="shared" ref="D9:I9" si="0">SUM(D5:D8)</f>
        <v>270000</v>
      </c>
      <c r="E9" s="118">
        <f t="shared" si="0"/>
        <v>23051.879999999997</v>
      </c>
      <c r="F9" s="118">
        <f t="shared" si="0"/>
        <v>695000</v>
      </c>
      <c r="G9" s="118">
        <f t="shared" si="0"/>
        <v>379805.73</v>
      </c>
      <c r="H9" s="118">
        <f t="shared" si="0"/>
        <v>730000</v>
      </c>
      <c r="I9" s="236">
        <f t="shared" si="0"/>
        <v>379805.73</v>
      </c>
      <c r="J9" s="47">
        <f>SUM(J5:J8)</f>
        <v>60000</v>
      </c>
      <c r="K9" s="27"/>
      <c r="L9" s="27"/>
    </row>
    <row r="10" spans="1:12" s="1" customFormat="1">
      <c r="A10" s="1" t="s">
        <v>924</v>
      </c>
      <c r="D10" s="121"/>
      <c r="E10" s="121"/>
      <c r="F10" s="179"/>
      <c r="G10" s="179"/>
      <c r="H10" s="179"/>
      <c r="I10" s="245"/>
    </row>
    <row r="11" spans="1:12">
      <c r="A11" s="13">
        <v>220</v>
      </c>
      <c r="B11" s="13">
        <v>171</v>
      </c>
      <c r="C11" s="13" t="s">
        <v>69</v>
      </c>
      <c r="D11" s="117">
        <v>780000</v>
      </c>
      <c r="E11" s="117">
        <v>546950</v>
      </c>
      <c r="F11" s="117">
        <v>750000</v>
      </c>
      <c r="G11" s="117">
        <v>12500</v>
      </c>
      <c r="H11" s="117">
        <f>MM!H23</f>
        <v>300000</v>
      </c>
      <c r="I11" s="235">
        <f>MM!I23</f>
        <v>12500</v>
      </c>
      <c r="J11" s="80">
        <f>MM!J23</f>
        <v>400000</v>
      </c>
      <c r="K11" s="165">
        <f>+E11/8*12</f>
        <v>820425</v>
      </c>
    </row>
    <row r="12" spans="1:12">
      <c r="A12" s="13">
        <v>220</v>
      </c>
      <c r="B12" s="13">
        <v>175</v>
      </c>
      <c r="C12" s="13" t="s">
        <v>71</v>
      </c>
      <c r="D12" s="117">
        <v>391108.21</v>
      </c>
      <c r="E12" s="117">
        <v>350617.47</v>
      </c>
      <c r="F12" s="117">
        <v>200000</v>
      </c>
      <c r="G12" s="117">
        <v>0</v>
      </c>
      <c r="H12" s="117">
        <f>MM!H24</f>
        <v>200000</v>
      </c>
      <c r="I12" s="235">
        <f>MM!I24</f>
        <v>0</v>
      </c>
      <c r="J12" s="80">
        <f>MM!J24</f>
        <v>350000</v>
      </c>
      <c r="K12" s="165">
        <f t="shared" ref="K12:K21" si="1">+E12/8*12</f>
        <v>525926.20499999996</v>
      </c>
    </row>
    <row r="13" spans="1:12">
      <c r="A13" s="13">
        <v>220</v>
      </c>
      <c r="B13" s="13">
        <v>178</v>
      </c>
      <c r="C13" s="13" t="s">
        <v>72</v>
      </c>
      <c r="D13" s="117">
        <v>350000</v>
      </c>
      <c r="E13" s="117">
        <v>0</v>
      </c>
      <c r="F13" s="117">
        <v>200000</v>
      </c>
      <c r="G13" s="117">
        <v>0</v>
      </c>
      <c r="H13" s="117">
        <f>MM!H25</f>
        <v>200000</v>
      </c>
      <c r="I13" s="235">
        <f>MM!I25</f>
        <v>0</v>
      </c>
      <c r="J13" s="80">
        <f>MM!J25</f>
        <v>200000</v>
      </c>
      <c r="K13" s="165">
        <f t="shared" si="1"/>
        <v>0</v>
      </c>
    </row>
    <row r="14" spans="1:12">
      <c r="A14" s="13">
        <v>220</v>
      </c>
      <c r="B14" s="13">
        <v>179</v>
      </c>
      <c r="C14" s="13" t="s">
        <v>73</v>
      </c>
      <c r="D14" s="117">
        <v>80000</v>
      </c>
      <c r="E14" s="117">
        <v>39518.339999999997</v>
      </c>
      <c r="F14" s="117">
        <v>40000</v>
      </c>
      <c r="G14" s="117">
        <v>8174.15</v>
      </c>
      <c r="H14" s="117">
        <f>MM!H26</f>
        <v>30000</v>
      </c>
      <c r="I14" s="235">
        <f>MM!I26</f>
        <v>8174.15</v>
      </c>
      <c r="J14" s="80">
        <f>MM!J26</f>
        <v>14012.82857142857</v>
      </c>
      <c r="K14" s="165">
        <f t="shared" si="1"/>
        <v>59277.509999999995</v>
      </c>
    </row>
    <row r="15" spans="1:12">
      <c r="A15" s="13">
        <v>220</v>
      </c>
      <c r="B15" s="13">
        <v>183</v>
      </c>
      <c r="C15" s="13" t="s">
        <v>75</v>
      </c>
      <c r="D15" s="117">
        <v>100000</v>
      </c>
      <c r="E15" s="117">
        <v>36000</v>
      </c>
      <c r="F15" s="117">
        <v>70000</v>
      </c>
      <c r="G15" s="117">
        <v>11170</v>
      </c>
      <c r="H15" s="117">
        <f>MM!H27</f>
        <v>60000</v>
      </c>
      <c r="I15" s="235">
        <f>MM!I27</f>
        <v>11170</v>
      </c>
      <c r="J15" s="80">
        <f>MM!J27</f>
        <v>19148.571428571428</v>
      </c>
      <c r="K15" s="165">
        <f t="shared" si="1"/>
        <v>54000</v>
      </c>
    </row>
    <row r="16" spans="1:12">
      <c r="A16" s="13">
        <v>220</v>
      </c>
      <c r="B16" s="13">
        <v>193</v>
      </c>
      <c r="C16" s="13" t="s">
        <v>36</v>
      </c>
      <c r="D16" s="117">
        <v>2000000</v>
      </c>
      <c r="E16" s="117">
        <v>930770.53</v>
      </c>
      <c r="F16" s="117">
        <v>1400000</v>
      </c>
      <c r="G16" s="117">
        <v>1491228.06</v>
      </c>
      <c r="H16" s="117">
        <f>MM!H28</f>
        <v>2000000</v>
      </c>
      <c r="I16" s="235">
        <f>MM!I28</f>
        <v>1491228.06</v>
      </c>
      <c r="J16" s="80">
        <f>MM!J28</f>
        <v>2600000</v>
      </c>
      <c r="K16" s="165">
        <f t="shared" si="1"/>
        <v>1396155.7949999999</v>
      </c>
    </row>
    <row r="17" spans="1:13">
      <c r="A17" s="13">
        <v>220</v>
      </c>
      <c r="B17" s="13">
        <v>195</v>
      </c>
      <c r="C17" s="13" t="s">
        <v>38</v>
      </c>
      <c r="D17" s="117">
        <v>500000</v>
      </c>
      <c r="E17" s="117">
        <v>294411.49</v>
      </c>
      <c r="F17" s="117">
        <v>300000</v>
      </c>
      <c r="G17" s="117">
        <v>159052.91</v>
      </c>
      <c r="H17" s="117">
        <f>MM!H29</f>
        <v>300000</v>
      </c>
      <c r="I17" s="235">
        <f>MM!I29</f>
        <v>310862.15999999997</v>
      </c>
      <c r="J17" s="80">
        <f>MM!J29</f>
        <v>600000</v>
      </c>
      <c r="K17" s="165">
        <f t="shared" si="1"/>
        <v>441617.23499999999</v>
      </c>
    </row>
    <row r="18" spans="1:13">
      <c r="A18" s="13">
        <v>220</v>
      </c>
      <c r="B18" s="13">
        <v>204</v>
      </c>
      <c r="C18" s="13" t="s">
        <v>42</v>
      </c>
      <c r="D18" s="117">
        <v>410600</v>
      </c>
      <c r="E18" s="117">
        <v>323418.34999999998</v>
      </c>
      <c r="F18" s="117">
        <v>320000</v>
      </c>
      <c r="G18" s="117">
        <v>388527.4</v>
      </c>
      <c r="H18" s="117">
        <f>MM!H30</f>
        <v>450000</v>
      </c>
      <c r="I18" s="235">
        <f>MM!I30</f>
        <v>392804.66</v>
      </c>
      <c r="J18" s="80">
        <f>MM!J30</f>
        <v>673379.4171428571</v>
      </c>
      <c r="K18" s="165">
        <f t="shared" si="1"/>
        <v>485127.52499999997</v>
      </c>
    </row>
    <row r="19" spans="1:13">
      <c r="A19" s="13">
        <v>220</v>
      </c>
      <c r="B19" s="13">
        <v>249</v>
      </c>
      <c r="C19" s="13" t="s">
        <v>80</v>
      </c>
      <c r="D19" s="117">
        <v>90000</v>
      </c>
      <c r="E19" s="117">
        <v>0</v>
      </c>
      <c r="F19" s="117">
        <v>0</v>
      </c>
      <c r="G19" s="117">
        <v>0</v>
      </c>
      <c r="H19" s="117">
        <f>MM!H31</f>
        <v>0</v>
      </c>
      <c r="I19" s="235">
        <f>MM!I31</f>
        <v>0</v>
      </c>
      <c r="J19" s="80">
        <f>MM!J31</f>
        <v>0</v>
      </c>
      <c r="K19" s="165">
        <f t="shared" si="1"/>
        <v>0</v>
      </c>
    </row>
    <row r="20" spans="1:13">
      <c r="A20" s="13">
        <v>220</v>
      </c>
      <c r="B20" s="13">
        <v>250</v>
      </c>
      <c r="C20" s="13" t="s">
        <v>81</v>
      </c>
      <c r="D20" s="117">
        <v>150000</v>
      </c>
      <c r="E20" s="117">
        <v>18812.11</v>
      </c>
      <c r="F20" s="117">
        <v>150000</v>
      </c>
      <c r="G20" s="117">
        <v>112289.64</v>
      </c>
      <c r="H20" s="117">
        <f>MM!H32</f>
        <v>50000</v>
      </c>
      <c r="I20" s="235">
        <f>MM!I32</f>
        <v>112289.64</v>
      </c>
      <c r="J20" s="80">
        <f>MM!J32</f>
        <v>192496.52571428573</v>
      </c>
      <c r="K20" s="165">
        <f t="shared" si="1"/>
        <v>28218.165000000001</v>
      </c>
    </row>
    <row r="21" spans="1:13">
      <c r="A21" s="13">
        <v>220</v>
      </c>
      <c r="B21" s="13">
        <v>253</v>
      </c>
      <c r="C21" s="13" t="s">
        <v>82</v>
      </c>
      <c r="D21" s="117">
        <v>3800000</v>
      </c>
      <c r="E21" s="117">
        <v>1202887.78</v>
      </c>
      <c r="F21" s="117">
        <v>4000000</v>
      </c>
      <c r="G21" s="117">
        <v>3445319.22</v>
      </c>
      <c r="H21" s="117">
        <f>MM!H33</f>
        <v>7000000</v>
      </c>
      <c r="I21" s="235">
        <f>MM!I33</f>
        <v>4495378.93</v>
      </c>
      <c r="J21" s="80">
        <f>MM!J33</f>
        <v>5000000</v>
      </c>
      <c r="K21" s="165">
        <f t="shared" si="1"/>
        <v>1804331.67</v>
      </c>
    </row>
    <row r="22" spans="1:13">
      <c r="D22" s="118">
        <f t="shared" ref="D22:I22" si="2">SUM(D11:D21)</f>
        <v>8651708.2100000009</v>
      </c>
      <c r="E22" s="118">
        <f t="shared" si="2"/>
        <v>3743386.0700000003</v>
      </c>
      <c r="F22" s="118">
        <f t="shared" si="2"/>
        <v>7430000</v>
      </c>
      <c r="G22" s="118">
        <f t="shared" si="2"/>
        <v>5628261.3800000008</v>
      </c>
      <c r="H22" s="118">
        <f t="shared" si="2"/>
        <v>10590000</v>
      </c>
      <c r="I22" s="236">
        <f t="shared" si="2"/>
        <v>6834407.5999999996</v>
      </c>
      <c r="J22" s="47">
        <f>SUM(J11:J21)</f>
        <v>10049037.342857143</v>
      </c>
    </row>
    <row r="23" spans="1:13" ht="409.6">
      <c r="D23" s="118"/>
      <c r="E23" s="118"/>
      <c r="F23" s="118"/>
      <c r="G23" s="118"/>
      <c r="H23" s="118"/>
      <c r="I23" s="236"/>
      <c r="J23" s="47"/>
    </row>
    <row r="24" spans="1:13" s="1" customFormat="1" ht="409.6">
      <c r="A24" s="1" t="s">
        <v>924</v>
      </c>
      <c r="D24" s="121"/>
      <c r="E24" s="121"/>
      <c r="F24" s="121"/>
      <c r="G24" s="121"/>
      <c r="H24" s="121"/>
      <c r="I24" s="238"/>
      <c r="J24" s="44"/>
      <c r="K24" s="44"/>
      <c r="L24" s="44"/>
      <c r="M24" s="44"/>
    </row>
    <row r="25" spans="1:13" ht="409.6">
      <c r="A25" s="13">
        <v>227</v>
      </c>
      <c r="B25" s="13">
        <v>195</v>
      </c>
      <c r="C25" s="13" t="s">
        <v>116</v>
      </c>
      <c r="D25" s="117">
        <v>15000</v>
      </c>
      <c r="E25" s="117">
        <v>0</v>
      </c>
      <c r="F25" s="117">
        <v>15000</v>
      </c>
      <c r="G25" s="117">
        <v>3266.26</v>
      </c>
      <c r="H25" s="117">
        <v>15000</v>
      </c>
      <c r="I25" s="235">
        <v>3266.26</v>
      </c>
      <c r="J25" s="80">
        <v>10000</v>
      </c>
      <c r="K25" s="146">
        <f>I25/7*12</f>
        <v>5599.3028571428576</v>
      </c>
      <c r="L25" s="27"/>
      <c r="M25" s="27"/>
    </row>
    <row r="26" spans="1:13" ht="409.6">
      <c r="A26" s="13">
        <v>227</v>
      </c>
      <c r="B26" s="13">
        <v>196</v>
      </c>
      <c r="C26" s="13" t="s">
        <v>117</v>
      </c>
      <c r="D26" s="117">
        <v>35000</v>
      </c>
      <c r="E26" s="117">
        <v>0</v>
      </c>
      <c r="F26" s="117">
        <v>0</v>
      </c>
      <c r="G26" s="117"/>
      <c r="H26" s="117">
        <v>0</v>
      </c>
      <c r="I26" s="235">
        <v>0</v>
      </c>
      <c r="J26" s="80">
        <v>0</v>
      </c>
      <c r="K26" s="146">
        <f>I26/7*12</f>
        <v>0</v>
      </c>
      <c r="L26" s="27"/>
      <c r="M26" s="27"/>
    </row>
    <row r="27" spans="1:13" ht="409.6">
      <c r="A27" s="13">
        <v>227</v>
      </c>
      <c r="B27" s="13">
        <v>200</v>
      </c>
      <c r="C27" s="13" t="s">
        <v>118</v>
      </c>
      <c r="D27" s="117">
        <v>50000</v>
      </c>
      <c r="E27" s="117">
        <v>47100</v>
      </c>
      <c r="F27" s="117">
        <v>70000</v>
      </c>
      <c r="G27" s="117">
        <v>0</v>
      </c>
      <c r="H27" s="117">
        <v>70000</v>
      </c>
      <c r="I27" s="235">
        <v>0</v>
      </c>
      <c r="J27" s="80">
        <v>100000</v>
      </c>
      <c r="K27" s="146">
        <f>I27/7*12</f>
        <v>0</v>
      </c>
      <c r="L27" s="27"/>
      <c r="M27" s="27"/>
    </row>
    <row r="28" spans="1:13" ht="409.6">
      <c r="A28" s="13">
        <v>227</v>
      </c>
      <c r="B28" s="13">
        <v>201</v>
      </c>
      <c r="C28" s="13" t="s">
        <v>119</v>
      </c>
      <c r="D28" s="117">
        <v>20000</v>
      </c>
      <c r="E28" s="117">
        <v>0</v>
      </c>
      <c r="F28" s="117">
        <v>180000</v>
      </c>
      <c r="G28" s="117">
        <v>0</v>
      </c>
      <c r="H28" s="117">
        <v>180000</v>
      </c>
      <c r="I28" s="235">
        <v>7000</v>
      </c>
      <c r="J28" s="80">
        <v>0</v>
      </c>
      <c r="K28" s="146">
        <f>I28/7*12</f>
        <v>12000</v>
      </c>
      <c r="L28" s="27"/>
      <c r="M28" s="27"/>
    </row>
    <row r="29" spans="1:13" ht="409.6">
      <c r="D29" s="118">
        <f t="shared" ref="D29:I29" si="3">SUM(D25:D28)</f>
        <v>120000</v>
      </c>
      <c r="E29" s="118">
        <f t="shared" si="3"/>
        <v>47100</v>
      </c>
      <c r="F29" s="118">
        <f t="shared" si="3"/>
        <v>265000</v>
      </c>
      <c r="G29" s="118">
        <f t="shared" si="3"/>
        <v>3266.26</v>
      </c>
      <c r="H29" s="118">
        <f t="shared" si="3"/>
        <v>265000</v>
      </c>
      <c r="I29" s="236">
        <f t="shared" si="3"/>
        <v>10266.26</v>
      </c>
      <c r="J29" s="74">
        <f>SUM(J25:J28)</f>
        <v>110000</v>
      </c>
      <c r="K29" s="74"/>
      <c r="L29" s="27"/>
      <c r="M29" s="27"/>
    </row>
    <row r="30" spans="1:13" ht="409.6">
      <c r="D30" s="118"/>
      <c r="E30" s="118"/>
      <c r="F30" s="118"/>
      <c r="G30" s="118"/>
      <c r="H30" s="118"/>
      <c r="I30" s="236"/>
      <c r="J30" s="47"/>
    </row>
    <row r="31" spans="1:13" s="1" customFormat="1" ht="409.6">
      <c r="A31" s="1" t="s">
        <v>924</v>
      </c>
      <c r="D31" s="121"/>
      <c r="E31" s="121"/>
      <c r="F31" s="121"/>
      <c r="G31" s="121"/>
      <c r="H31" s="121"/>
      <c r="I31" s="238"/>
      <c r="J31" s="44"/>
      <c r="K31" s="44"/>
      <c r="L31" s="44"/>
    </row>
    <row r="32" spans="1:13" ht="409.6">
      <c r="A32" s="13">
        <v>229</v>
      </c>
      <c r="B32" s="13">
        <v>175</v>
      </c>
      <c r="C32" s="13" t="s">
        <v>127</v>
      </c>
      <c r="D32" s="117">
        <v>1000</v>
      </c>
      <c r="E32" s="117">
        <v>0</v>
      </c>
      <c r="F32" s="117">
        <v>0</v>
      </c>
      <c r="G32" s="117">
        <v>0</v>
      </c>
      <c r="H32" s="117">
        <f>'COMMUNITY SERVICES'!H90</f>
        <v>0</v>
      </c>
      <c r="I32" s="235">
        <f>'COMMUNITY SERVICES'!I90</f>
        <v>0</v>
      </c>
      <c r="J32" s="80">
        <f>'COMMUNITY SERVICES'!J90</f>
        <v>0</v>
      </c>
      <c r="K32" s="27"/>
      <c r="L32" s="27"/>
    </row>
    <row r="33" spans="1:13" ht="409.6">
      <c r="A33" s="13">
        <v>229</v>
      </c>
      <c r="B33" s="13">
        <v>182</v>
      </c>
      <c r="C33" s="13" t="s">
        <v>128</v>
      </c>
      <c r="D33" s="117">
        <v>250000</v>
      </c>
      <c r="E33" s="117">
        <v>0</v>
      </c>
      <c r="F33" s="117">
        <v>250000</v>
      </c>
      <c r="G33" s="117">
        <v>125770</v>
      </c>
      <c r="H33" s="117">
        <f>'COMMUNITY SERVICES'!H91</f>
        <v>250000</v>
      </c>
      <c r="I33" s="235">
        <f>'COMMUNITY SERVICES'!I91</f>
        <v>125770</v>
      </c>
      <c r="J33" s="80">
        <f>'COMMUNITY SERVICES'!J91</f>
        <v>250000</v>
      </c>
      <c r="K33" s="27"/>
      <c r="L33" s="27"/>
    </row>
    <row r="34" spans="1:13" ht="409.6">
      <c r="A34" s="13">
        <v>229</v>
      </c>
      <c r="B34" s="13">
        <v>183</v>
      </c>
      <c r="C34" s="13" t="s">
        <v>130</v>
      </c>
      <c r="D34" s="117">
        <v>60000</v>
      </c>
      <c r="E34" s="117">
        <v>5766.83</v>
      </c>
      <c r="F34" s="117">
        <v>40000</v>
      </c>
      <c r="G34" s="117">
        <v>7500</v>
      </c>
      <c r="H34" s="117">
        <f>'COMMUNITY SERVICES'!H92</f>
        <v>0</v>
      </c>
      <c r="I34" s="235">
        <f>'COMMUNITY SERVICES'!I92</f>
        <v>7500</v>
      </c>
      <c r="J34" s="80">
        <f>'COMMUNITY SERVICES'!J92</f>
        <v>0</v>
      </c>
      <c r="K34" s="27"/>
      <c r="L34" s="27"/>
    </row>
    <row r="35" spans="1:13" ht="409.6">
      <c r="A35" s="13">
        <v>229</v>
      </c>
      <c r="B35" s="13">
        <v>193</v>
      </c>
      <c r="C35" s="13" t="s">
        <v>36</v>
      </c>
      <c r="D35" s="117">
        <v>0</v>
      </c>
      <c r="E35" s="117">
        <v>3300</v>
      </c>
      <c r="F35" s="117">
        <v>0</v>
      </c>
      <c r="G35" s="117">
        <v>0</v>
      </c>
      <c r="H35" s="117">
        <f>'COMMUNITY SERVICES'!H93</f>
        <v>0</v>
      </c>
      <c r="I35" s="235">
        <f>'COMMUNITY SERVICES'!I93</f>
        <v>0</v>
      </c>
      <c r="J35" s="80">
        <f>'COMMUNITY SERVICES'!J93</f>
        <v>0</v>
      </c>
      <c r="K35" s="27"/>
      <c r="L35" s="27"/>
    </row>
    <row r="36" spans="1:13" ht="409.6">
      <c r="A36" s="13">
        <v>229</v>
      </c>
      <c r="B36" s="13">
        <v>195</v>
      </c>
      <c r="C36" s="13" t="s">
        <v>132</v>
      </c>
      <c r="D36" s="117">
        <v>45000</v>
      </c>
      <c r="E36" s="117">
        <v>33945.339999999997</v>
      </c>
      <c r="F36" s="117">
        <v>60000</v>
      </c>
      <c r="G36" s="117">
        <v>84116.61</v>
      </c>
      <c r="H36" s="117">
        <f>'COMMUNITY SERVICES'!H94</f>
        <v>92500</v>
      </c>
      <c r="I36" s="235">
        <f>'COMMUNITY SERVICES'!I94</f>
        <v>85276.21</v>
      </c>
      <c r="J36" s="80">
        <f>'COMMUNITY SERVICES'!J94</f>
        <v>100000</v>
      </c>
      <c r="K36" s="27"/>
      <c r="L36" s="27"/>
    </row>
    <row r="37" spans="1:13" ht="409.6">
      <c r="A37" s="13">
        <v>229</v>
      </c>
      <c r="B37" s="13">
        <v>198</v>
      </c>
      <c r="C37" s="13" t="s">
        <v>133</v>
      </c>
      <c r="D37" s="117">
        <v>518561.53</v>
      </c>
      <c r="E37" s="117">
        <v>178070.84</v>
      </c>
      <c r="F37" s="117">
        <f>400000-265000</f>
        <v>135000</v>
      </c>
      <c r="G37" s="117">
        <v>27461.52</v>
      </c>
      <c r="H37" s="117">
        <f>'COMMUNITY SERVICES'!H95</f>
        <v>135000</v>
      </c>
      <c r="I37" s="235">
        <f>'COMMUNITY SERVICES'!I95</f>
        <v>27461.52</v>
      </c>
      <c r="J37" s="80">
        <f>'COMMUNITY SERVICES'!J95</f>
        <v>300000</v>
      </c>
      <c r="K37" s="27"/>
      <c r="L37" s="27"/>
    </row>
    <row r="38" spans="1:13" ht="409.6">
      <c r="A38" s="42"/>
      <c r="B38" s="42"/>
      <c r="C38" s="42"/>
      <c r="D38" s="120">
        <f t="shared" ref="D38:I38" si="4">SUM(D32:D37)</f>
        <v>874561.53</v>
      </c>
      <c r="E38" s="120">
        <f t="shared" si="4"/>
        <v>221083.01</v>
      </c>
      <c r="F38" s="120">
        <f t="shared" si="4"/>
        <v>485000</v>
      </c>
      <c r="G38" s="120">
        <f t="shared" si="4"/>
        <v>244848.12999999998</v>
      </c>
      <c r="H38" s="120">
        <f t="shared" si="4"/>
        <v>477500</v>
      </c>
      <c r="I38" s="237">
        <f t="shared" si="4"/>
        <v>246007.73</v>
      </c>
      <c r="J38" s="55">
        <f>SUM(J32:J37)</f>
        <v>650000</v>
      </c>
      <c r="K38" s="27"/>
      <c r="L38" s="41"/>
      <c r="M38" s="41"/>
    </row>
    <row r="39" spans="1:13" s="1" customFormat="1" ht="409.6">
      <c r="A39" s="1" t="s">
        <v>924</v>
      </c>
      <c r="D39" s="121"/>
      <c r="E39" s="121"/>
      <c r="F39" s="121"/>
      <c r="G39" s="121"/>
      <c r="H39" s="121"/>
      <c r="I39" s="238"/>
      <c r="J39" s="44"/>
      <c r="K39" s="44"/>
      <c r="L39" s="44"/>
    </row>
    <row r="40" spans="1:13" ht="409.6">
      <c r="A40" s="13">
        <v>230</v>
      </c>
      <c r="B40" s="13">
        <v>127</v>
      </c>
      <c r="C40" s="13" t="s">
        <v>137</v>
      </c>
      <c r="D40" s="117">
        <v>20000</v>
      </c>
      <c r="E40" s="117">
        <v>12874.6</v>
      </c>
      <c r="F40" s="117">
        <v>20000</v>
      </c>
      <c r="G40" s="117">
        <v>11750</v>
      </c>
      <c r="H40" s="117">
        <f>'COMMUNITY SERVICES'!H120</f>
        <v>20000</v>
      </c>
      <c r="I40" s="235">
        <f>'COMMUNITY SERVICES'!I120</f>
        <v>11750</v>
      </c>
      <c r="J40" s="80">
        <f>'COMMUNITY SERVICES'!J120</f>
        <v>30000</v>
      </c>
      <c r="K40" s="140">
        <f t="shared" ref="K40:K45" si="5">+E40/8*12</f>
        <v>19311.900000000001</v>
      </c>
      <c r="L40" s="27"/>
    </row>
    <row r="41" spans="1:13" ht="409.6">
      <c r="A41" s="13">
        <v>230</v>
      </c>
      <c r="B41" s="13">
        <v>195</v>
      </c>
      <c r="C41" s="13" t="s">
        <v>138</v>
      </c>
      <c r="D41" s="117">
        <v>9500</v>
      </c>
      <c r="E41" s="117">
        <v>3806.05</v>
      </c>
      <c r="F41" s="117">
        <v>5000</v>
      </c>
      <c r="G41" s="117">
        <v>31778.07</v>
      </c>
      <c r="H41" s="117">
        <f>'COMMUNITY SERVICES'!H121</f>
        <v>45000</v>
      </c>
      <c r="I41" s="235">
        <f>'COMMUNITY SERVICES'!I121</f>
        <v>31778.07</v>
      </c>
      <c r="J41" s="80">
        <f>'COMMUNITY SERVICES'!J121</f>
        <v>0</v>
      </c>
      <c r="K41" s="140">
        <f t="shared" si="5"/>
        <v>5709.0750000000007</v>
      </c>
      <c r="L41" s="27"/>
    </row>
    <row r="42" spans="1:13" ht="409.6">
      <c r="A42" s="13">
        <v>230</v>
      </c>
      <c r="B42" s="13">
        <v>204</v>
      </c>
      <c r="C42" s="13" t="s">
        <v>42</v>
      </c>
      <c r="D42" s="117">
        <v>1000</v>
      </c>
      <c r="E42" s="117">
        <v>0</v>
      </c>
      <c r="F42" s="117">
        <v>0</v>
      </c>
      <c r="G42" s="117">
        <v>12.28</v>
      </c>
      <c r="H42" s="117">
        <f>'COMMUNITY SERVICES'!H122</f>
        <v>2000</v>
      </c>
      <c r="I42" s="235">
        <f>'COMMUNITY SERVICES'!I122</f>
        <v>12.28</v>
      </c>
      <c r="J42" s="80">
        <f>'COMMUNITY SERVICES'!J122</f>
        <v>0</v>
      </c>
      <c r="K42" s="140">
        <f t="shared" si="5"/>
        <v>0</v>
      </c>
      <c r="L42" s="27"/>
    </row>
    <row r="43" spans="1:13" ht="409.6">
      <c r="A43" s="13">
        <v>230</v>
      </c>
      <c r="B43" s="13">
        <v>205</v>
      </c>
      <c r="C43" s="13" t="s">
        <v>140</v>
      </c>
      <c r="D43" s="117">
        <v>50000</v>
      </c>
      <c r="E43" s="117">
        <v>0</v>
      </c>
      <c r="F43" s="117">
        <v>0</v>
      </c>
      <c r="G43" s="117">
        <v>0</v>
      </c>
      <c r="H43" s="117">
        <f>'COMMUNITY SERVICES'!H123</f>
        <v>20000</v>
      </c>
      <c r="I43" s="235">
        <f>'COMMUNITY SERVICES'!I123</f>
        <v>0</v>
      </c>
      <c r="J43" s="80">
        <f>'COMMUNITY SERVICES'!J123</f>
        <v>0</v>
      </c>
      <c r="K43" s="140">
        <f t="shared" si="5"/>
        <v>0</v>
      </c>
      <c r="L43" s="27"/>
    </row>
    <row r="44" spans="1:13" ht="409.6">
      <c r="A44" s="13">
        <v>230</v>
      </c>
      <c r="B44" s="13">
        <v>206</v>
      </c>
      <c r="C44" s="13" t="s">
        <v>141</v>
      </c>
      <c r="D44" s="117">
        <v>88455.27</v>
      </c>
      <c r="E44" s="117">
        <v>107894.22</v>
      </c>
      <c r="F44" s="117">
        <v>0</v>
      </c>
      <c r="G44" s="117">
        <v>0</v>
      </c>
      <c r="H44" s="117">
        <f>'COMMUNITY SERVICES'!H124</f>
        <v>0</v>
      </c>
      <c r="I44" s="235">
        <f>'COMMUNITY SERVICES'!I124</f>
        <v>0</v>
      </c>
      <c r="J44" s="80">
        <f>'COMMUNITY SERVICES'!J124</f>
        <v>0</v>
      </c>
      <c r="K44" s="140">
        <f t="shared" si="5"/>
        <v>161841.33000000002</v>
      </c>
      <c r="L44" s="27"/>
    </row>
    <row r="45" spans="1:13" ht="409.6">
      <c r="A45" s="13">
        <v>230</v>
      </c>
      <c r="B45" s="13">
        <v>207</v>
      </c>
      <c r="C45" s="13" t="s">
        <v>142</v>
      </c>
      <c r="D45" s="117">
        <v>16000</v>
      </c>
      <c r="E45" s="117">
        <v>11080</v>
      </c>
      <c r="F45" s="117">
        <v>10000</v>
      </c>
      <c r="G45" s="117">
        <v>5304974</v>
      </c>
      <c r="H45" s="117">
        <f>'COMMUNITY SERVICES'!H125</f>
        <v>68000</v>
      </c>
      <c r="I45" s="235">
        <f>'COMMUNITY SERVICES'!I125</f>
        <v>53049.74</v>
      </c>
      <c r="J45" s="80">
        <f>'COMMUNITY SERVICES'!J125</f>
        <v>81730.16</v>
      </c>
      <c r="K45" s="140">
        <f t="shared" si="5"/>
        <v>16620</v>
      </c>
      <c r="L45" s="27"/>
    </row>
    <row r="46" spans="1:13" ht="409.6">
      <c r="D46" s="118">
        <f t="shared" ref="D46:J46" si="6">SUM(D40:D45)</f>
        <v>184955.27000000002</v>
      </c>
      <c r="E46" s="118">
        <f t="shared" si="6"/>
        <v>135654.87</v>
      </c>
      <c r="F46" s="118">
        <f t="shared" si="6"/>
        <v>35000</v>
      </c>
      <c r="G46" s="118">
        <f t="shared" si="6"/>
        <v>5348514.3499999996</v>
      </c>
      <c r="H46" s="118">
        <f t="shared" si="6"/>
        <v>155000</v>
      </c>
      <c r="I46" s="236">
        <f t="shared" si="6"/>
        <v>96590.09</v>
      </c>
      <c r="J46" s="47">
        <f t="shared" si="6"/>
        <v>111730.16</v>
      </c>
      <c r="K46" s="27"/>
      <c r="L46" s="27"/>
    </row>
    <row r="47" spans="1:13" ht="409.6">
      <c r="A47" s="1" t="s">
        <v>924</v>
      </c>
      <c r="B47" s="1"/>
      <c r="D47" s="118"/>
      <c r="E47" s="118"/>
      <c r="F47" s="118"/>
      <c r="G47" s="118"/>
      <c r="H47" s="118"/>
      <c r="I47" s="236"/>
      <c r="J47" s="47"/>
      <c r="K47" s="27"/>
    </row>
    <row r="48" spans="1:13" s="1" customFormat="1" ht="409.6">
      <c r="A48" s="17">
        <v>239</v>
      </c>
      <c r="B48" s="17">
        <v>183</v>
      </c>
      <c r="C48" s="17" t="s">
        <v>75</v>
      </c>
      <c r="D48" s="122">
        <v>165000</v>
      </c>
      <c r="E48" s="122">
        <v>144800</v>
      </c>
      <c r="F48" s="122">
        <f>120000+150000</f>
        <v>270000</v>
      </c>
      <c r="G48" s="122">
        <v>176600</v>
      </c>
      <c r="H48" s="122">
        <f>SPEAKER!H22</f>
        <v>353200</v>
      </c>
      <c r="I48" s="242">
        <f>SPEAKER!I22</f>
        <v>231500</v>
      </c>
      <c r="J48" s="31">
        <f>SPEAKER!J22</f>
        <v>500000</v>
      </c>
      <c r="K48" s="44"/>
    </row>
    <row r="49" spans="1:12" ht="409.6">
      <c r="A49" s="13">
        <v>239</v>
      </c>
      <c r="B49" s="13">
        <v>179</v>
      </c>
      <c r="C49" s="13" t="s">
        <v>73</v>
      </c>
      <c r="D49" s="117">
        <v>125000</v>
      </c>
      <c r="E49" s="117">
        <v>85959</v>
      </c>
      <c r="F49" s="117">
        <v>129000</v>
      </c>
      <c r="G49" s="117">
        <v>24390</v>
      </c>
      <c r="H49" s="122">
        <f>SPEAKER!H23</f>
        <v>50000</v>
      </c>
      <c r="I49" s="242">
        <f>SPEAKER!I23</f>
        <v>25990</v>
      </c>
      <c r="J49" s="31">
        <f>SPEAKER!J23</f>
        <v>44554.28571428571</v>
      </c>
      <c r="K49" s="140">
        <f>E49/8*12</f>
        <v>128938.5</v>
      </c>
    </row>
    <row r="50" spans="1:12" ht="409.6">
      <c r="A50" s="13">
        <v>239</v>
      </c>
      <c r="B50" s="13">
        <v>195</v>
      </c>
      <c r="C50" s="13" t="s">
        <v>38</v>
      </c>
      <c r="D50" s="117">
        <v>400000</v>
      </c>
      <c r="E50" s="117">
        <v>452494.53</v>
      </c>
      <c r="F50" s="117">
        <v>500000</v>
      </c>
      <c r="G50" s="117">
        <v>496121.27</v>
      </c>
      <c r="H50" s="122">
        <f>SPEAKER!H24</f>
        <v>780000</v>
      </c>
      <c r="I50" s="242">
        <f>SPEAKER!I24</f>
        <v>507325.74</v>
      </c>
      <c r="J50" s="31">
        <f>SPEAKER!J24</f>
        <v>860000</v>
      </c>
      <c r="K50" s="140">
        <f>E50/8*12</f>
        <v>678741.79500000004</v>
      </c>
    </row>
    <row r="51" spans="1:12" ht="409.6">
      <c r="A51" s="13">
        <v>239</v>
      </c>
      <c r="B51" s="13">
        <v>203</v>
      </c>
      <c r="C51" s="13" t="s">
        <v>161</v>
      </c>
      <c r="D51" s="117">
        <v>300000</v>
      </c>
      <c r="E51" s="117">
        <v>47800</v>
      </c>
      <c r="F51" s="117">
        <v>0</v>
      </c>
      <c r="G51" s="117">
        <v>236.84</v>
      </c>
      <c r="H51" s="122">
        <f>SPEAKER!H25</f>
        <v>0</v>
      </c>
      <c r="I51" s="242">
        <f>SPEAKER!I25</f>
        <v>236.84</v>
      </c>
      <c r="J51" s="31">
        <f>SPEAKER!J25</f>
        <v>406.01142857142855</v>
      </c>
      <c r="K51" s="140">
        <f>E51/8*12</f>
        <v>71700</v>
      </c>
    </row>
    <row r="52" spans="1:12" ht="409.6">
      <c r="A52" s="13">
        <v>239</v>
      </c>
      <c r="B52" s="13">
        <v>204</v>
      </c>
      <c r="C52" s="13" t="s">
        <v>42</v>
      </c>
      <c r="D52" s="117">
        <v>20000</v>
      </c>
      <c r="E52" s="117">
        <v>20492.43</v>
      </c>
      <c r="F52" s="117">
        <v>35000</v>
      </c>
      <c r="G52" s="117">
        <v>53317.31</v>
      </c>
      <c r="H52" s="122">
        <f>SPEAKER!H26</f>
        <v>100000</v>
      </c>
      <c r="I52" s="242">
        <f>SPEAKER!I26</f>
        <v>53317.31</v>
      </c>
      <c r="J52" s="31">
        <f>SPEAKER!J26</f>
        <v>91401.102857142861</v>
      </c>
      <c r="K52" s="140">
        <f>E52/8*12</f>
        <v>30738.645</v>
      </c>
    </row>
    <row r="53" spans="1:12" ht="409.6">
      <c r="A53" s="13">
        <v>239</v>
      </c>
      <c r="B53" s="13">
        <v>211</v>
      </c>
      <c r="C53" s="13" t="s">
        <v>163</v>
      </c>
      <c r="D53" s="117">
        <v>8000</v>
      </c>
      <c r="E53" s="117">
        <v>4000</v>
      </c>
      <c r="F53" s="117">
        <v>6000</v>
      </c>
      <c r="G53" s="117">
        <v>0</v>
      </c>
      <c r="H53" s="122">
        <f>SPEAKER!H27</f>
        <v>0</v>
      </c>
      <c r="I53" s="242">
        <f>SPEAKER!I27</f>
        <v>0</v>
      </c>
      <c r="J53" s="31">
        <f>SPEAKER!J27</f>
        <v>0</v>
      </c>
      <c r="K53" s="140">
        <f>E53/8*12</f>
        <v>6000</v>
      </c>
    </row>
    <row r="54" spans="1:12" ht="409.6">
      <c r="D54" s="118">
        <f t="shared" ref="D54:J54" si="7">SUM(D48:D53)</f>
        <v>1018000</v>
      </c>
      <c r="E54" s="118">
        <f t="shared" si="7"/>
        <v>755545.96000000008</v>
      </c>
      <c r="F54" s="118">
        <f t="shared" si="7"/>
        <v>940000</v>
      </c>
      <c r="G54" s="118">
        <f t="shared" si="7"/>
        <v>750665.41999999993</v>
      </c>
      <c r="H54" s="118">
        <f t="shared" si="7"/>
        <v>1283200</v>
      </c>
      <c r="I54" s="236">
        <f t="shared" si="7"/>
        <v>818369.8899999999</v>
      </c>
      <c r="J54" s="47">
        <f t="shared" si="7"/>
        <v>1496361.4000000001</v>
      </c>
      <c r="K54" s="27"/>
    </row>
    <row r="55" spans="1:12" s="1" customFormat="1" ht="409.6">
      <c r="A55" s="1" t="s">
        <v>924</v>
      </c>
      <c r="D55" s="121"/>
      <c r="E55" s="121"/>
      <c r="F55" s="121"/>
      <c r="G55" s="121"/>
      <c r="H55" s="121"/>
      <c r="I55" s="238"/>
      <c r="J55" s="44"/>
      <c r="K55" s="44"/>
      <c r="L55" s="44"/>
    </row>
    <row r="56" spans="1:12" ht="409.6">
      <c r="A56" s="13">
        <v>244</v>
      </c>
      <c r="B56" s="13">
        <v>109</v>
      </c>
      <c r="C56" s="13" t="s">
        <v>183</v>
      </c>
      <c r="D56" s="117">
        <v>128750</v>
      </c>
      <c r="E56" s="117">
        <v>2183</v>
      </c>
      <c r="F56" s="117">
        <v>40000</v>
      </c>
      <c r="G56" s="117">
        <v>5323</v>
      </c>
      <c r="H56" s="117">
        <f>CORPORATE!H42</f>
        <v>40000</v>
      </c>
      <c r="I56" s="235">
        <f>CORPORATE!I42</f>
        <v>5323</v>
      </c>
      <c r="J56" s="80">
        <f>CORPORATE!J42</f>
        <v>40000</v>
      </c>
      <c r="K56" s="140">
        <f>+E56/8*12</f>
        <v>3274.5</v>
      </c>
      <c r="L56" s="27"/>
    </row>
    <row r="57" spans="1:12" ht="409.6">
      <c r="A57" s="13">
        <v>244</v>
      </c>
      <c r="B57" s="13">
        <v>111</v>
      </c>
      <c r="C57" s="13" t="s">
        <v>185</v>
      </c>
      <c r="D57" s="117">
        <v>250000</v>
      </c>
      <c r="E57" s="117">
        <v>99649.38</v>
      </c>
      <c r="F57" s="117">
        <v>170000</v>
      </c>
      <c r="G57" s="117">
        <v>48461.21</v>
      </c>
      <c r="H57" s="117">
        <f>CORPORATE!H43</f>
        <v>100000</v>
      </c>
      <c r="I57" s="235">
        <f>CORPORATE!I43</f>
        <v>48461.21</v>
      </c>
      <c r="J57" s="80">
        <f>CORPORATE!J43</f>
        <v>100000</v>
      </c>
      <c r="K57" s="140">
        <f t="shared" ref="K57:K74" si="8">+E57/8*12</f>
        <v>149474.07</v>
      </c>
      <c r="L57" s="27"/>
    </row>
    <row r="58" spans="1:12" ht="409.6">
      <c r="A58" s="13">
        <v>244</v>
      </c>
      <c r="B58" s="13">
        <v>123</v>
      </c>
      <c r="C58" s="13" t="s">
        <v>187</v>
      </c>
      <c r="D58" s="117">
        <v>700000</v>
      </c>
      <c r="E58" s="117">
        <v>401261.6</v>
      </c>
      <c r="F58" s="117">
        <v>400000</v>
      </c>
      <c r="G58" s="117">
        <v>2480.7399999999998</v>
      </c>
      <c r="H58" s="117">
        <f>CORPORATE!H44</f>
        <v>20000</v>
      </c>
      <c r="I58" s="235">
        <f>CORPORATE!I44</f>
        <v>2480.7399999999998</v>
      </c>
      <c r="J58" s="80">
        <f>CORPORATE!J44</f>
        <v>100000</v>
      </c>
      <c r="K58" s="140">
        <f t="shared" si="8"/>
        <v>601892.39999999991</v>
      </c>
      <c r="L58" s="27"/>
    </row>
    <row r="59" spans="1:12" ht="409.6">
      <c r="A59" s="13">
        <v>244</v>
      </c>
      <c r="B59" s="13">
        <v>135</v>
      </c>
      <c r="C59" s="13" t="s">
        <v>189</v>
      </c>
      <c r="D59" s="117">
        <v>100000</v>
      </c>
      <c r="E59" s="117">
        <v>80668.69</v>
      </c>
      <c r="F59" s="117">
        <f>K59*6/100+K59</f>
        <v>128263.21710000001</v>
      </c>
      <c r="G59" s="117">
        <v>79653.06</v>
      </c>
      <c r="H59" s="117">
        <f>CORPORATE!H45</f>
        <v>160000</v>
      </c>
      <c r="I59" s="235">
        <f>CORPORATE!I45</f>
        <v>84076.63</v>
      </c>
      <c r="J59" s="80">
        <f>CORPORATE!J45</f>
        <v>3080788.54</v>
      </c>
      <c r="K59" s="140">
        <f t="shared" si="8"/>
        <v>121003.035</v>
      </c>
      <c r="L59" s="27"/>
    </row>
    <row r="60" spans="1:12" ht="409.6">
      <c r="A60" s="13">
        <v>244</v>
      </c>
      <c r="B60" s="13">
        <v>172</v>
      </c>
      <c r="C60" s="13" t="s">
        <v>191</v>
      </c>
      <c r="D60" s="117">
        <v>2300000</v>
      </c>
      <c r="E60" s="117">
        <v>377615.83</v>
      </c>
      <c r="F60" s="117">
        <v>1200000</v>
      </c>
      <c r="G60" s="117">
        <v>587793.82999999996</v>
      </c>
      <c r="H60" s="117">
        <f>CORPORATE!H46</f>
        <v>1200000</v>
      </c>
      <c r="I60" s="235">
        <f>CORPORATE!I46</f>
        <v>612536.43999999994</v>
      </c>
      <c r="J60" s="80">
        <f>CORPORATE!J46</f>
        <v>1000000</v>
      </c>
      <c r="K60" s="140">
        <f t="shared" si="8"/>
        <v>566423.745</v>
      </c>
      <c r="L60" s="27"/>
    </row>
    <row r="61" spans="1:12" ht="409.6">
      <c r="A61" s="13">
        <v>244</v>
      </c>
      <c r="B61" s="13">
        <v>175</v>
      </c>
      <c r="C61" s="13" t="s">
        <v>195</v>
      </c>
      <c r="D61" s="117">
        <v>9200</v>
      </c>
      <c r="E61" s="117">
        <v>5296.28</v>
      </c>
      <c r="F61" s="117">
        <v>9200</v>
      </c>
      <c r="G61" s="117">
        <v>12150.82</v>
      </c>
      <c r="H61" s="117">
        <f>CORPORATE!H47</f>
        <v>24000</v>
      </c>
      <c r="I61" s="235">
        <f>CORPORATE!I47</f>
        <v>12360.03</v>
      </c>
      <c r="J61" s="80">
        <f>CORPORATE!J47</f>
        <v>25000</v>
      </c>
      <c r="K61" s="140">
        <f t="shared" si="8"/>
        <v>7944.42</v>
      </c>
      <c r="L61" s="27"/>
    </row>
    <row r="62" spans="1:12" ht="409.6">
      <c r="A62" s="13">
        <v>244</v>
      </c>
      <c r="B62" s="13">
        <v>179</v>
      </c>
      <c r="C62" s="13" t="s">
        <v>73</v>
      </c>
      <c r="D62" s="117">
        <v>200000</v>
      </c>
      <c r="E62" s="117">
        <v>52656.28</v>
      </c>
      <c r="F62" s="117">
        <v>60000</v>
      </c>
      <c r="G62" s="117">
        <v>14977.62</v>
      </c>
      <c r="H62" s="117">
        <f>CORPORATE!H48</f>
        <v>40000</v>
      </c>
      <c r="I62" s="235">
        <f>CORPORATE!I48</f>
        <v>14977.62</v>
      </c>
      <c r="J62" s="80">
        <f>CORPORATE!J48</f>
        <v>30000</v>
      </c>
      <c r="K62" s="140">
        <f t="shared" si="8"/>
        <v>78984.42</v>
      </c>
      <c r="L62" s="27"/>
    </row>
    <row r="63" spans="1:12" ht="409.6">
      <c r="A63" s="13">
        <v>244</v>
      </c>
      <c r="B63" s="13">
        <v>180</v>
      </c>
      <c r="C63" s="13" t="s">
        <v>198</v>
      </c>
      <c r="D63" s="117">
        <v>150000</v>
      </c>
      <c r="E63" s="117">
        <v>0</v>
      </c>
      <c r="F63" s="117">
        <v>50000</v>
      </c>
      <c r="G63" s="117">
        <v>0</v>
      </c>
      <c r="H63" s="117">
        <f>CORPORATE!H49</f>
        <v>50000</v>
      </c>
      <c r="I63" s="235">
        <f>CORPORATE!I49</f>
        <v>0</v>
      </c>
      <c r="J63" s="80">
        <f>CORPORATE!J49</f>
        <v>25000</v>
      </c>
      <c r="K63" s="140">
        <f t="shared" si="8"/>
        <v>0</v>
      </c>
      <c r="L63" s="27"/>
    </row>
    <row r="64" spans="1:12" ht="409.6">
      <c r="A64" s="13">
        <v>244</v>
      </c>
      <c r="B64" s="13">
        <v>182</v>
      </c>
      <c r="C64" s="13" t="s">
        <v>199</v>
      </c>
      <c r="D64" s="117">
        <v>900000</v>
      </c>
      <c r="E64" s="117">
        <v>487050.91</v>
      </c>
      <c r="F64" s="117">
        <v>700000</v>
      </c>
      <c r="G64" s="117">
        <v>147156.9</v>
      </c>
      <c r="H64" s="117">
        <f>CORPORATE!H50</f>
        <v>500000</v>
      </c>
      <c r="I64" s="235">
        <f>CORPORATE!I50</f>
        <v>150153.39000000001</v>
      </c>
      <c r="J64" s="80">
        <f>CORPORATE!J50</f>
        <v>500000</v>
      </c>
      <c r="K64" s="140">
        <f t="shared" si="8"/>
        <v>730576.36499999999</v>
      </c>
      <c r="L64" s="27"/>
    </row>
    <row r="65" spans="1:12" ht="409.6">
      <c r="A65" s="13">
        <v>244</v>
      </c>
      <c r="B65" s="13">
        <v>191</v>
      </c>
      <c r="C65" s="13" t="s">
        <v>201</v>
      </c>
      <c r="D65" s="117">
        <v>6000</v>
      </c>
      <c r="E65" s="117">
        <v>1408</v>
      </c>
      <c r="F65" s="117">
        <v>4000</v>
      </c>
      <c r="G65" s="117">
        <v>9210.5300000000007</v>
      </c>
      <c r="H65" s="117">
        <f>CORPORATE!H51</f>
        <v>17000</v>
      </c>
      <c r="I65" s="235">
        <f>CORPORATE!I51</f>
        <v>10859.65</v>
      </c>
      <c r="J65" s="80">
        <f>CORPORATE!J51</f>
        <v>20000</v>
      </c>
      <c r="K65" s="140">
        <f t="shared" si="8"/>
        <v>2112</v>
      </c>
      <c r="L65" s="27"/>
    </row>
    <row r="66" spans="1:12" ht="409.6">
      <c r="A66" s="13">
        <v>244</v>
      </c>
      <c r="B66" s="13">
        <v>193</v>
      </c>
      <c r="C66" s="13" t="s">
        <v>36</v>
      </c>
      <c r="D66" s="117">
        <v>2300000</v>
      </c>
      <c r="E66" s="117">
        <v>642370.92000000004</v>
      </c>
      <c r="F66" s="117">
        <v>1500000</v>
      </c>
      <c r="G66" s="117">
        <v>8002.2</v>
      </c>
      <c r="H66" s="117">
        <f>CORPORATE!H52</f>
        <v>1000000</v>
      </c>
      <c r="I66" s="235">
        <f>CORPORATE!I52</f>
        <v>8002.2</v>
      </c>
      <c r="J66" s="80">
        <f>CORPORATE!J52</f>
        <v>0</v>
      </c>
      <c r="K66" s="140">
        <f t="shared" si="8"/>
        <v>963556.38000000012</v>
      </c>
      <c r="L66" s="27"/>
    </row>
    <row r="67" spans="1:12" ht="409.6">
      <c r="A67" s="13">
        <v>244</v>
      </c>
      <c r="B67" s="13">
        <v>195</v>
      </c>
      <c r="C67" s="13" t="s">
        <v>38</v>
      </c>
      <c r="D67" s="117">
        <v>219600</v>
      </c>
      <c r="E67" s="117">
        <v>142869.91</v>
      </c>
      <c r="F67" s="117">
        <v>219600</v>
      </c>
      <c r="G67" s="117">
        <v>111770.18</v>
      </c>
      <c r="H67" s="117">
        <f>CORPORATE!H53</f>
        <v>219600</v>
      </c>
      <c r="I67" s="235">
        <f>CORPORATE!I53</f>
        <v>113656.09</v>
      </c>
      <c r="J67" s="80">
        <f>CORPORATE!J53</f>
        <v>200000</v>
      </c>
      <c r="K67" s="140">
        <f t="shared" si="8"/>
        <v>214304.86499999999</v>
      </c>
      <c r="L67" s="27"/>
    </row>
    <row r="68" spans="1:12" ht="409.6">
      <c r="A68" s="13">
        <v>244</v>
      </c>
      <c r="B68" s="13">
        <v>201</v>
      </c>
      <c r="C68" s="13" t="s">
        <v>40</v>
      </c>
      <c r="D68" s="117">
        <v>106000</v>
      </c>
      <c r="E68" s="117">
        <v>11450</v>
      </c>
      <c r="F68" s="117">
        <v>106000</v>
      </c>
      <c r="G68" s="117">
        <v>101095</v>
      </c>
      <c r="H68" s="117">
        <f>CORPORATE!H54</f>
        <v>200000</v>
      </c>
      <c r="I68" s="235">
        <f>CORPORATE!I54</f>
        <v>101095</v>
      </c>
      <c r="J68" s="80">
        <f>CORPORATE!J54</f>
        <v>200000</v>
      </c>
      <c r="K68" s="140">
        <f t="shared" si="8"/>
        <v>17175</v>
      </c>
      <c r="L68" s="27"/>
    </row>
    <row r="69" spans="1:12" ht="409.6">
      <c r="A69" s="13">
        <v>244</v>
      </c>
      <c r="B69" s="13">
        <v>204</v>
      </c>
      <c r="C69" s="13" t="s">
        <v>42</v>
      </c>
      <c r="D69" s="117">
        <v>130000</v>
      </c>
      <c r="E69" s="117">
        <v>104071.8</v>
      </c>
      <c r="F69" s="117">
        <v>157000</v>
      </c>
      <c r="G69" s="117">
        <v>85233.15</v>
      </c>
      <c r="H69" s="117">
        <f>CORPORATE!H55</f>
        <v>157000</v>
      </c>
      <c r="I69" s="235">
        <f>CORPORATE!I55</f>
        <v>114680.45</v>
      </c>
      <c r="J69" s="80">
        <f>CORPORATE!J55</f>
        <v>200000</v>
      </c>
      <c r="K69" s="140">
        <f t="shared" si="8"/>
        <v>156107.70000000001</v>
      </c>
      <c r="L69" s="27"/>
    </row>
    <row r="70" spans="1:12" ht="409.6">
      <c r="A70" s="13">
        <v>244</v>
      </c>
      <c r="B70" s="13">
        <v>206</v>
      </c>
      <c r="C70" s="13" t="s">
        <v>141</v>
      </c>
      <c r="D70" s="117">
        <v>500000</v>
      </c>
      <c r="E70" s="117">
        <v>7100</v>
      </c>
      <c r="F70" s="117">
        <v>300000</v>
      </c>
      <c r="G70" s="117">
        <v>18000</v>
      </c>
      <c r="H70" s="117">
        <f>CORPORATE!H56</f>
        <v>40000</v>
      </c>
      <c r="I70" s="235">
        <f>CORPORATE!I56</f>
        <v>18000</v>
      </c>
      <c r="J70" s="80">
        <f>CORPORATE!J56</f>
        <v>50000</v>
      </c>
      <c r="K70" s="140">
        <f t="shared" si="8"/>
        <v>10650</v>
      </c>
      <c r="L70" s="27"/>
    </row>
    <row r="71" spans="1:12" ht="409.6">
      <c r="A71" s="13">
        <v>244</v>
      </c>
      <c r="B71" s="13">
        <v>208</v>
      </c>
      <c r="C71" s="13" t="s">
        <v>207</v>
      </c>
      <c r="D71" s="117">
        <v>192000</v>
      </c>
      <c r="E71" s="117">
        <v>107533.5</v>
      </c>
      <c r="F71" s="117">
        <v>162000</v>
      </c>
      <c r="G71" s="117">
        <v>78346.149999999994</v>
      </c>
      <c r="H71" s="117">
        <f>CORPORATE!H57</f>
        <v>162000</v>
      </c>
      <c r="I71" s="235">
        <f>CORPORATE!I57</f>
        <v>105673.1</v>
      </c>
      <c r="J71" s="80">
        <f>CORPORATE!J57</f>
        <v>190000</v>
      </c>
      <c r="K71" s="140">
        <f t="shared" si="8"/>
        <v>161300.25</v>
      </c>
      <c r="L71" s="27"/>
    </row>
    <row r="72" spans="1:12" ht="409.6">
      <c r="A72" s="13">
        <v>244</v>
      </c>
      <c r="B72" s="13">
        <v>262</v>
      </c>
      <c r="C72" s="13" t="s">
        <v>212</v>
      </c>
      <c r="D72" s="117">
        <v>1000000</v>
      </c>
      <c r="E72" s="117">
        <v>75990</v>
      </c>
      <c r="F72" s="117">
        <v>1000000</v>
      </c>
      <c r="G72" s="117">
        <v>38969.050000000003</v>
      </c>
      <c r="H72" s="117">
        <f>CORPORATE!H58</f>
        <v>1000000</v>
      </c>
      <c r="I72" s="235">
        <f>CORPORATE!I58</f>
        <v>171322.03</v>
      </c>
      <c r="J72" s="80">
        <f>CORPORATE!J58</f>
        <v>1000000</v>
      </c>
      <c r="K72" s="140">
        <f t="shared" si="8"/>
        <v>113985</v>
      </c>
      <c r="L72" s="27"/>
    </row>
    <row r="73" spans="1:12" ht="409.6">
      <c r="A73" s="13">
        <v>244</v>
      </c>
      <c r="B73" s="13">
        <v>456</v>
      </c>
      <c r="C73" s="13" t="s">
        <v>226</v>
      </c>
      <c r="D73" s="117">
        <v>150000</v>
      </c>
      <c r="E73" s="117">
        <v>604.07000000000005</v>
      </c>
      <c r="F73" s="117">
        <v>75000</v>
      </c>
      <c r="G73" s="117">
        <v>5166.67</v>
      </c>
      <c r="H73" s="117">
        <f>CORPORATE!H59</f>
        <v>75000</v>
      </c>
      <c r="I73" s="235">
        <f>CORPORATE!I59</f>
        <v>34666.67</v>
      </c>
      <c r="J73" s="80">
        <f>CORPORATE!J59</f>
        <v>65000</v>
      </c>
      <c r="K73" s="140">
        <f t="shared" si="8"/>
        <v>906.10500000000002</v>
      </c>
      <c r="L73" s="27"/>
    </row>
    <row r="74" spans="1:12" ht="409.6">
      <c r="A74" s="13">
        <v>244</v>
      </c>
      <c r="B74" s="13">
        <v>457</v>
      </c>
      <c r="C74" s="13" t="s">
        <v>228</v>
      </c>
      <c r="D74" s="117">
        <v>180000</v>
      </c>
      <c r="E74" s="123">
        <v>-8340.16</v>
      </c>
      <c r="F74" s="117">
        <v>0</v>
      </c>
      <c r="G74" s="117">
        <v>0</v>
      </c>
      <c r="H74" s="117">
        <f>CORPORATE!H60</f>
        <v>0</v>
      </c>
      <c r="I74" s="235">
        <f>CORPORATE!I60</f>
        <v>0</v>
      </c>
      <c r="J74" s="80">
        <f>CORPORATE!J60</f>
        <v>0</v>
      </c>
      <c r="K74" s="140">
        <f t="shared" si="8"/>
        <v>-12510.24</v>
      </c>
      <c r="L74" s="27"/>
    </row>
    <row r="75" spans="1:12" ht="409.6">
      <c r="D75" s="118">
        <f t="shared" ref="D75:J75" si="9">SUM(D56:D74)</f>
        <v>9521550</v>
      </c>
      <c r="E75" s="118">
        <f t="shared" si="9"/>
        <v>2591440.0099999998</v>
      </c>
      <c r="F75" s="118">
        <f t="shared" si="9"/>
        <v>6281063.2171</v>
      </c>
      <c r="G75" s="118">
        <f t="shared" si="9"/>
        <v>1353790.1099999996</v>
      </c>
      <c r="H75" s="118">
        <f t="shared" si="9"/>
        <v>5004600</v>
      </c>
      <c r="I75" s="236">
        <f t="shared" si="9"/>
        <v>1608324.25</v>
      </c>
      <c r="J75" s="47">
        <f t="shared" si="9"/>
        <v>6825788.54</v>
      </c>
      <c r="K75" s="27"/>
      <c r="L75" s="27"/>
    </row>
    <row r="76" spans="1:12" ht="409.6">
      <c r="A76" s="1" t="s">
        <v>922</v>
      </c>
      <c r="D76" s="118"/>
      <c r="E76" s="118"/>
      <c r="F76" s="118"/>
      <c r="G76" s="118"/>
      <c r="H76" s="118"/>
      <c r="I76" s="236"/>
      <c r="J76" s="47"/>
      <c r="K76" s="27"/>
      <c r="L76" s="27"/>
    </row>
    <row r="77" spans="1:12" ht="409.6">
      <c r="A77" s="13">
        <v>245</v>
      </c>
      <c r="B77" s="13">
        <v>123</v>
      </c>
      <c r="C77" s="13" t="s">
        <v>187</v>
      </c>
      <c r="D77" s="117">
        <v>250000</v>
      </c>
      <c r="E77" s="117">
        <v>142450.78</v>
      </c>
      <c r="F77" s="117">
        <v>0</v>
      </c>
      <c r="G77" s="117">
        <v>0</v>
      </c>
      <c r="H77" s="117">
        <f>'COMMUNITY SERVICES'!H161</f>
        <v>0</v>
      </c>
      <c r="I77" s="235">
        <f>'COMMUNITY SERVICES'!I161</f>
        <v>0</v>
      </c>
      <c r="J77" s="80">
        <f>'COMMUNITY SERVICES'!J161</f>
        <v>0</v>
      </c>
      <c r="K77" s="140">
        <f>+E77/8*12</f>
        <v>213676.16999999998</v>
      </c>
      <c r="L77" s="27"/>
    </row>
    <row r="78" spans="1:12" ht="409.6">
      <c r="A78" s="13">
        <v>245</v>
      </c>
      <c r="B78" s="13">
        <v>135</v>
      </c>
      <c r="C78" s="13" t="s">
        <v>189</v>
      </c>
      <c r="D78" s="117">
        <v>70000</v>
      </c>
      <c r="E78" s="117">
        <v>34960.160000000003</v>
      </c>
      <c r="F78" s="117">
        <v>80000</v>
      </c>
      <c r="G78" s="117">
        <v>88265.67</v>
      </c>
      <c r="H78" s="117">
        <f>'COMMUNITY SERVICES'!H162</f>
        <v>176000</v>
      </c>
      <c r="I78" s="235">
        <f>'COMMUNITY SERVICES'!I162</f>
        <v>92544.08</v>
      </c>
      <c r="J78" s="80">
        <f>'COMMUNITY SERVICES'!J162</f>
        <v>165000</v>
      </c>
      <c r="K78" s="140">
        <f>+E78/8*12</f>
        <v>52440.240000000005</v>
      </c>
      <c r="L78" s="27"/>
    </row>
    <row r="79" spans="1:12" ht="409.6">
      <c r="A79" s="13">
        <v>245</v>
      </c>
      <c r="B79" s="13">
        <v>175</v>
      </c>
      <c r="C79" s="13" t="s">
        <v>195</v>
      </c>
      <c r="D79" s="117">
        <v>10000</v>
      </c>
      <c r="E79" s="117">
        <v>6081.28</v>
      </c>
      <c r="F79" s="117">
        <v>10000</v>
      </c>
      <c r="G79" s="117">
        <v>5917.01</v>
      </c>
      <c r="H79" s="117">
        <f>'COMMUNITY SERVICES'!H163</f>
        <v>15000</v>
      </c>
      <c r="I79" s="235">
        <f>'COMMUNITY SERVICES'!I163</f>
        <v>5917.01</v>
      </c>
      <c r="J79" s="80">
        <f>'COMMUNITY SERVICES'!J163</f>
        <v>20000</v>
      </c>
      <c r="K79" s="140">
        <f t="shared" ref="K79:K85" si="10">+E79/8*12</f>
        <v>9121.92</v>
      </c>
      <c r="L79" s="27"/>
    </row>
    <row r="80" spans="1:12" ht="409.6">
      <c r="A80" s="13">
        <v>245</v>
      </c>
      <c r="B80" s="13">
        <v>179</v>
      </c>
      <c r="C80" s="13" t="s">
        <v>254</v>
      </c>
      <c r="D80" s="117">
        <v>0</v>
      </c>
      <c r="E80" s="117">
        <v>4130.8</v>
      </c>
      <c r="F80" s="117">
        <v>0</v>
      </c>
      <c r="G80" s="117">
        <v>0</v>
      </c>
      <c r="H80" s="117">
        <f>'COMMUNITY SERVICES'!H164</f>
        <v>0</v>
      </c>
      <c r="I80" s="235">
        <f>'COMMUNITY SERVICES'!I164</f>
        <v>0</v>
      </c>
      <c r="J80" s="80">
        <f>'COMMUNITY SERVICES'!J164</f>
        <v>0</v>
      </c>
      <c r="K80" s="140">
        <f t="shared" si="10"/>
        <v>6196.2000000000007</v>
      </c>
      <c r="L80" s="27"/>
    </row>
    <row r="81" spans="1:12" ht="409.6">
      <c r="A81" s="13">
        <v>245</v>
      </c>
      <c r="B81" s="13">
        <v>193</v>
      </c>
      <c r="C81" s="13" t="s">
        <v>255</v>
      </c>
      <c r="D81" s="117">
        <v>105597.63</v>
      </c>
      <c r="E81" s="117">
        <v>50000</v>
      </c>
      <c r="F81" s="117">
        <v>150000</v>
      </c>
      <c r="G81" s="117">
        <v>0</v>
      </c>
      <c r="H81" s="117">
        <f>'COMMUNITY SERVICES'!H165</f>
        <v>0</v>
      </c>
      <c r="I81" s="235">
        <f>'COMMUNITY SERVICES'!I165</f>
        <v>0</v>
      </c>
      <c r="J81" s="80">
        <f>'COMMUNITY SERVICES'!J165</f>
        <v>861490.78</v>
      </c>
      <c r="K81" s="140">
        <f t="shared" si="10"/>
        <v>75000</v>
      </c>
      <c r="L81" s="27"/>
    </row>
    <row r="82" spans="1:12" ht="409.6">
      <c r="A82" s="13">
        <v>245</v>
      </c>
      <c r="B82" s="13">
        <v>195</v>
      </c>
      <c r="C82" s="13" t="s">
        <v>38</v>
      </c>
      <c r="D82" s="117">
        <v>60000</v>
      </c>
      <c r="E82" s="117">
        <v>54837.77</v>
      </c>
      <c r="F82" s="117">
        <v>60000</v>
      </c>
      <c r="G82" s="117">
        <v>60121.34</v>
      </c>
      <c r="H82" s="117">
        <f>'COMMUNITY SERVICES'!H166</f>
        <v>120000</v>
      </c>
      <c r="I82" s="235">
        <f>'COMMUNITY SERVICES'!I166</f>
        <v>79821.34</v>
      </c>
      <c r="J82" s="80">
        <f>'COMMUNITY SERVICES'!J166</f>
        <v>120000</v>
      </c>
      <c r="K82" s="140">
        <f t="shared" si="10"/>
        <v>82256.654999999999</v>
      </c>
      <c r="L82" s="27"/>
    </row>
    <row r="83" spans="1:12" ht="409.6">
      <c r="A83" s="13">
        <v>245</v>
      </c>
      <c r="B83" s="13">
        <v>204</v>
      </c>
      <c r="C83" s="13" t="s">
        <v>42</v>
      </c>
      <c r="D83" s="117">
        <v>30000</v>
      </c>
      <c r="E83" s="117">
        <v>18711.5</v>
      </c>
      <c r="F83" s="117">
        <v>20000</v>
      </c>
      <c r="G83" s="117">
        <v>13916.13</v>
      </c>
      <c r="H83" s="117">
        <f>'COMMUNITY SERVICES'!H167</f>
        <v>40000</v>
      </c>
      <c r="I83" s="235">
        <f>'COMMUNITY SERVICES'!I167</f>
        <v>13916.13</v>
      </c>
      <c r="J83" s="80">
        <f>'COMMUNITY SERVICES'!J167</f>
        <v>25000</v>
      </c>
      <c r="K83" s="140">
        <f t="shared" si="10"/>
        <v>28067.25</v>
      </c>
      <c r="L83" s="27"/>
    </row>
    <row r="84" spans="1:12" ht="409.6">
      <c r="A84" s="13">
        <v>245</v>
      </c>
      <c r="B84" s="13">
        <v>208</v>
      </c>
      <c r="C84" s="13" t="s">
        <v>207</v>
      </c>
      <c r="D84" s="117">
        <v>600</v>
      </c>
      <c r="E84" s="117">
        <v>386</v>
      </c>
      <c r="F84" s="117">
        <v>600</v>
      </c>
      <c r="G84" s="117">
        <v>0</v>
      </c>
      <c r="H84" s="117">
        <f>'COMMUNITY SERVICES'!H168</f>
        <v>0</v>
      </c>
      <c r="I84" s="235">
        <f>'COMMUNITY SERVICES'!I168</f>
        <v>0</v>
      </c>
      <c r="J84" s="80">
        <f>'COMMUNITY SERVICES'!J168</f>
        <v>0</v>
      </c>
      <c r="K84" s="140">
        <f t="shared" si="10"/>
        <v>579</v>
      </c>
      <c r="L84" s="27"/>
    </row>
    <row r="85" spans="1:12" ht="409.6">
      <c r="A85" s="13">
        <v>245</v>
      </c>
      <c r="B85" s="13">
        <v>225</v>
      </c>
      <c r="C85" s="13" t="s">
        <v>259</v>
      </c>
      <c r="D85" s="117">
        <v>600</v>
      </c>
      <c r="E85" s="117">
        <v>480</v>
      </c>
      <c r="F85" s="117">
        <v>600</v>
      </c>
      <c r="G85" s="117">
        <v>0</v>
      </c>
      <c r="H85" s="117">
        <f>'COMMUNITY SERVICES'!H169</f>
        <v>6000</v>
      </c>
      <c r="I85" s="235">
        <f>'COMMUNITY SERVICES'!I169</f>
        <v>0</v>
      </c>
      <c r="J85" s="80">
        <f>'COMMUNITY SERVICES'!J169</f>
        <v>0</v>
      </c>
      <c r="K85" s="140">
        <f t="shared" si="10"/>
        <v>720</v>
      </c>
      <c r="L85" s="27"/>
    </row>
    <row r="86" spans="1:12" ht="409.6">
      <c r="D86" s="118">
        <f t="shared" ref="D86:I86" si="11">SUM(D77:D85)</f>
        <v>526797.63</v>
      </c>
      <c r="E86" s="118">
        <f t="shared" si="11"/>
        <v>312038.28999999998</v>
      </c>
      <c r="F86" s="118">
        <f t="shared" si="11"/>
        <v>321200</v>
      </c>
      <c r="G86" s="118">
        <f t="shared" si="11"/>
        <v>168220.15</v>
      </c>
      <c r="H86" s="118">
        <f t="shared" si="11"/>
        <v>357000</v>
      </c>
      <c r="I86" s="236">
        <f t="shared" si="11"/>
        <v>192198.56</v>
      </c>
      <c r="J86" s="47">
        <f>SUM(J77:J85)</f>
        <v>1191490.78</v>
      </c>
      <c r="K86" s="27"/>
      <c r="L86" s="27"/>
    </row>
    <row r="87" spans="1:12" s="1" customFormat="1" ht="409.6">
      <c r="A87" s="1" t="s">
        <v>924</v>
      </c>
      <c r="D87" s="121"/>
      <c r="E87" s="121"/>
      <c r="F87" s="121"/>
      <c r="G87" s="121"/>
      <c r="H87" s="121"/>
      <c r="I87" s="238"/>
      <c r="J87" s="44"/>
      <c r="K87" s="27"/>
      <c r="L87" s="44"/>
    </row>
    <row r="88" spans="1:12" ht="409.6">
      <c r="A88" s="13">
        <v>262</v>
      </c>
      <c r="B88" s="13">
        <v>123</v>
      </c>
      <c r="C88" s="13" t="s">
        <v>187</v>
      </c>
      <c r="D88" s="117">
        <v>250000</v>
      </c>
      <c r="E88" s="117">
        <v>233003.96</v>
      </c>
      <c r="F88" s="117">
        <v>250000</v>
      </c>
      <c r="G88" s="117">
        <v>0</v>
      </c>
      <c r="H88" s="117">
        <f>'COMMUNITY SERVICES'!H205</f>
        <v>100000</v>
      </c>
      <c r="I88" s="235">
        <f>'COMMUNITY SERVICES'!I205</f>
        <v>0</v>
      </c>
      <c r="J88" s="80">
        <f>'COMMUNITY SERVICES'!J205</f>
        <v>100000</v>
      </c>
      <c r="K88" s="140">
        <f>+E88/8*12</f>
        <v>349505.94</v>
      </c>
      <c r="L88" s="27"/>
    </row>
    <row r="89" spans="1:12" ht="409.6">
      <c r="A89" s="13">
        <v>262</v>
      </c>
      <c r="B89" s="13">
        <v>175</v>
      </c>
      <c r="C89" s="13" t="s">
        <v>195</v>
      </c>
      <c r="D89" s="117">
        <v>1500</v>
      </c>
      <c r="E89" s="117">
        <v>6328.41</v>
      </c>
      <c r="F89" s="117">
        <v>10000</v>
      </c>
      <c r="G89" s="117">
        <v>12388.68</v>
      </c>
      <c r="H89" s="117">
        <f>'COMMUNITY SERVICES'!H206</f>
        <v>24000</v>
      </c>
      <c r="I89" s="235">
        <f>'COMMUNITY SERVICES'!I206</f>
        <v>12540.8</v>
      </c>
      <c r="J89" s="80">
        <f>'COMMUNITY SERVICES'!J206</f>
        <v>0</v>
      </c>
      <c r="K89" s="140">
        <f>+E89/8*12</f>
        <v>9492.6149999999998</v>
      </c>
      <c r="L89" s="27"/>
    </row>
    <row r="90" spans="1:12" ht="409.6">
      <c r="A90" s="13">
        <v>262</v>
      </c>
      <c r="B90" s="13">
        <v>195</v>
      </c>
      <c r="C90" s="13" t="s">
        <v>38</v>
      </c>
      <c r="D90" s="117">
        <v>6000</v>
      </c>
      <c r="E90" s="117">
        <v>3586.63</v>
      </c>
      <c r="F90" s="117">
        <v>5000</v>
      </c>
      <c r="G90" s="117">
        <v>35265.21</v>
      </c>
      <c r="H90" s="117">
        <f>'COMMUNITY SERVICES'!H207</f>
        <v>57000</v>
      </c>
      <c r="I90" s="235">
        <f>'COMMUNITY SERVICES'!I207</f>
        <v>35265.21</v>
      </c>
      <c r="J90" s="80">
        <f>'COMMUNITY SERVICES'!J207</f>
        <v>0</v>
      </c>
      <c r="K90" s="140">
        <f>+E90/8*12</f>
        <v>5379.9449999999997</v>
      </c>
      <c r="L90" s="27"/>
    </row>
    <row r="91" spans="1:12" ht="409.6">
      <c r="A91" s="13">
        <v>262</v>
      </c>
      <c r="B91" s="13">
        <v>213</v>
      </c>
      <c r="C91" s="13" t="s">
        <v>284</v>
      </c>
      <c r="D91" s="117">
        <v>60000</v>
      </c>
      <c r="E91" s="117">
        <v>0</v>
      </c>
      <c r="F91" s="117">
        <v>40000</v>
      </c>
      <c r="G91" s="117">
        <v>0</v>
      </c>
      <c r="H91" s="117">
        <f>'COMMUNITY SERVICES'!H208</f>
        <v>100000</v>
      </c>
      <c r="I91" s="235">
        <f>'COMMUNITY SERVICES'!I208</f>
        <v>0</v>
      </c>
      <c r="J91" s="80">
        <f>'COMMUNITY SERVICES'!J208</f>
        <v>50000</v>
      </c>
      <c r="K91" s="140">
        <f>+E91/8*12</f>
        <v>0</v>
      </c>
      <c r="L91" s="27"/>
    </row>
    <row r="92" spans="1:12" ht="409.6">
      <c r="A92" s="13">
        <v>262</v>
      </c>
      <c r="B92" s="13">
        <v>254</v>
      </c>
      <c r="C92" s="13" t="s">
        <v>285</v>
      </c>
      <c r="D92" s="117">
        <v>8000</v>
      </c>
      <c r="E92" s="117">
        <v>15898.89</v>
      </c>
      <c r="F92" s="117">
        <v>30000</v>
      </c>
      <c r="G92" s="117">
        <v>0</v>
      </c>
      <c r="H92" s="117">
        <f>'COMMUNITY SERVICES'!H209</f>
        <v>30000</v>
      </c>
      <c r="I92" s="235">
        <f>'COMMUNITY SERVICES'!I209</f>
        <v>0</v>
      </c>
      <c r="J92" s="80">
        <f>'COMMUNITY SERVICES'!J209</f>
        <v>0</v>
      </c>
      <c r="K92" s="140">
        <f>+E92/8*12</f>
        <v>23848.334999999999</v>
      </c>
      <c r="L92" s="27"/>
    </row>
    <row r="93" spans="1:12" ht="409.6">
      <c r="D93" s="118">
        <f t="shared" ref="D93:I93" si="12">SUM(D88:D92)</f>
        <v>325500</v>
      </c>
      <c r="E93" s="118">
        <f t="shared" si="12"/>
        <v>258817.89</v>
      </c>
      <c r="F93" s="118">
        <f t="shared" si="12"/>
        <v>335000</v>
      </c>
      <c r="G93" s="118">
        <f t="shared" si="12"/>
        <v>47653.89</v>
      </c>
      <c r="H93" s="118">
        <f t="shared" si="12"/>
        <v>311000</v>
      </c>
      <c r="I93" s="236">
        <f t="shared" si="12"/>
        <v>47806.009999999995</v>
      </c>
      <c r="J93" s="47">
        <f>SUM(J88:J92)</f>
        <v>150000</v>
      </c>
      <c r="K93" s="27"/>
      <c r="L93" s="27"/>
    </row>
    <row r="94" spans="1:12" s="1" customFormat="1" ht="409.6">
      <c r="A94" s="1" t="s">
        <v>924</v>
      </c>
      <c r="D94" s="121"/>
      <c r="E94" s="121"/>
      <c r="F94" s="121"/>
      <c r="G94" s="121"/>
      <c r="H94" s="121"/>
      <c r="I94" s="238"/>
      <c r="J94" s="44"/>
      <c r="K94" s="44"/>
    </row>
    <row r="95" spans="1:12" ht="409.6">
      <c r="A95" s="13">
        <v>267</v>
      </c>
      <c r="B95" s="13">
        <v>123</v>
      </c>
      <c r="C95" s="13" t="s">
        <v>187</v>
      </c>
      <c r="D95" s="117">
        <v>140544.04</v>
      </c>
      <c r="E95" s="117">
        <v>82208.66</v>
      </c>
      <c r="F95" s="117">
        <v>124000</v>
      </c>
      <c r="G95" s="117">
        <v>2599.86</v>
      </c>
      <c r="H95" s="117">
        <f>MAYOR!H22</f>
        <v>60000</v>
      </c>
      <c r="I95" s="235">
        <f>MAYOR!I22</f>
        <v>2599.86</v>
      </c>
      <c r="J95" s="80">
        <f>MAYOR!J22</f>
        <v>4456.9028571428571</v>
      </c>
      <c r="K95" s="140">
        <f>E95/8*12</f>
        <v>123312.99</v>
      </c>
    </row>
    <row r="96" spans="1:12" ht="409.6">
      <c r="A96" s="13">
        <v>267</v>
      </c>
      <c r="B96" s="13">
        <v>179</v>
      </c>
      <c r="C96" s="13" t="s">
        <v>73</v>
      </c>
      <c r="D96" s="117">
        <v>70000</v>
      </c>
      <c r="E96" s="117">
        <v>44586.1</v>
      </c>
      <c r="F96" s="117">
        <v>50000</v>
      </c>
      <c r="G96" s="117">
        <v>52655</v>
      </c>
      <c r="H96" s="117">
        <f>MAYOR!H23</f>
        <v>100000</v>
      </c>
      <c r="I96" s="235">
        <f>MAYOR!I23</f>
        <v>54255</v>
      </c>
      <c r="J96" s="80">
        <f>MAYOR!J23</f>
        <v>93008.57142857142</v>
      </c>
      <c r="K96" s="140">
        <f t="shared" ref="K96:K102" si="13">E96/8*12</f>
        <v>66879.149999999994</v>
      </c>
    </row>
    <row r="97" spans="1:13" ht="409.6">
      <c r="A97" s="97">
        <v>267</v>
      </c>
      <c r="B97" s="97">
        <v>183</v>
      </c>
      <c r="C97" s="97" t="s">
        <v>130</v>
      </c>
      <c r="D97" s="117"/>
      <c r="E97" s="117"/>
      <c r="F97" s="117">
        <v>0</v>
      </c>
      <c r="G97" s="117">
        <v>17018.03</v>
      </c>
      <c r="H97" s="117">
        <f>MAYOR!H24</f>
        <v>0</v>
      </c>
      <c r="I97" s="235">
        <f>MAYOR!I24</f>
        <v>17018.03</v>
      </c>
      <c r="J97" s="80">
        <f>MAYOR!J24</f>
        <v>29173.765714285699</v>
      </c>
      <c r="K97" s="140"/>
    </row>
    <row r="98" spans="1:13" ht="409.6">
      <c r="A98" s="13">
        <v>267</v>
      </c>
      <c r="B98" s="13">
        <v>195</v>
      </c>
      <c r="C98" s="13" t="s">
        <v>38</v>
      </c>
      <c r="D98" s="117">
        <v>300000</v>
      </c>
      <c r="E98" s="117">
        <v>227027.36</v>
      </c>
      <c r="F98" s="117">
        <v>300000</v>
      </c>
      <c r="G98" s="117">
        <v>237459.85</v>
      </c>
      <c r="H98" s="117">
        <f>MAYOR!H25</f>
        <v>450000</v>
      </c>
      <c r="I98" s="235">
        <f>MAYOR!I25</f>
        <v>348020.65</v>
      </c>
      <c r="J98" s="80">
        <f>MAYOR!J25</f>
        <v>596606.82857142854</v>
      </c>
      <c r="K98" s="140">
        <f t="shared" si="13"/>
        <v>340541.04</v>
      </c>
    </row>
    <row r="99" spans="1:13" ht="409.6">
      <c r="A99" s="13">
        <v>267</v>
      </c>
      <c r="B99" s="13">
        <v>203</v>
      </c>
      <c r="C99" s="13" t="s">
        <v>320</v>
      </c>
      <c r="D99" s="117">
        <v>450000</v>
      </c>
      <c r="E99" s="117">
        <v>403182.46</v>
      </c>
      <c r="F99" s="117">
        <v>450000</v>
      </c>
      <c r="G99" s="117">
        <v>537723.68000000005</v>
      </c>
      <c r="H99" s="117">
        <f>MAYOR!H26</f>
        <v>800000</v>
      </c>
      <c r="I99" s="235">
        <f>MAYOR!I26</f>
        <v>566723.68000000005</v>
      </c>
      <c r="J99" s="80">
        <f>MAYOR!J26</f>
        <v>950000</v>
      </c>
      <c r="K99" s="140">
        <f t="shared" si="13"/>
        <v>604773.69000000006</v>
      </c>
    </row>
    <row r="100" spans="1:13" ht="409.6">
      <c r="A100" s="13">
        <v>267</v>
      </c>
      <c r="B100" s="13">
        <v>204</v>
      </c>
      <c r="C100" s="13" t="s">
        <v>42</v>
      </c>
      <c r="D100" s="117">
        <v>11000</v>
      </c>
      <c r="E100" s="117">
        <v>12671.57</v>
      </c>
      <c r="F100" s="117">
        <v>20000</v>
      </c>
      <c r="G100" s="117">
        <v>19323.91</v>
      </c>
      <c r="H100" s="117">
        <f>MAYOR!H27</f>
        <v>40000</v>
      </c>
      <c r="I100" s="235">
        <f>MAYOR!I27</f>
        <v>49673.91</v>
      </c>
      <c r="J100" s="80">
        <f>MAYOR!J27</f>
        <v>85155.274285714288</v>
      </c>
      <c r="K100" s="140">
        <f t="shared" si="13"/>
        <v>19007.355</v>
      </c>
    </row>
    <row r="101" spans="1:13" ht="409.6">
      <c r="A101" s="13">
        <v>267</v>
      </c>
      <c r="B101" s="13">
        <v>206</v>
      </c>
      <c r="C101" s="13" t="s">
        <v>322</v>
      </c>
      <c r="D101" s="117">
        <v>45000</v>
      </c>
      <c r="E101" s="117">
        <v>45890</v>
      </c>
      <c r="F101" s="117">
        <v>120000</v>
      </c>
      <c r="G101" s="117">
        <v>94742</v>
      </c>
      <c r="H101" s="117">
        <f>MAYOR!H28</f>
        <v>150000</v>
      </c>
      <c r="I101" s="235">
        <f>MAYOR!I28</f>
        <v>94742</v>
      </c>
      <c r="J101" s="80">
        <f>MAYOR!J28</f>
        <v>162414.85714285716</v>
      </c>
      <c r="K101" s="140">
        <f t="shared" si="13"/>
        <v>68835</v>
      </c>
    </row>
    <row r="102" spans="1:13" ht="409.6">
      <c r="A102" s="13">
        <v>267</v>
      </c>
      <c r="B102" s="13">
        <v>211</v>
      </c>
      <c r="C102" s="13" t="s">
        <v>163</v>
      </c>
      <c r="D102" s="117">
        <v>400000</v>
      </c>
      <c r="E102" s="117">
        <v>314453.53000000003</v>
      </c>
      <c r="F102" s="117">
        <v>472000</v>
      </c>
      <c r="G102" s="117">
        <v>315823.44</v>
      </c>
      <c r="H102" s="117">
        <f>MAYOR!H29</f>
        <v>500000</v>
      </c>
      <c r="I102" s="235">
        <f>MAYOR!I29</f>
        <v>361949.24</v>
      </c>
      <c r="J102" s="80">
        <f>MAYOR!J29</f>
        <v>620484.41142857145</v>
      </c>
      <c r="K102" s="140">
        <f t="shared" si="13"/>
        <v>471680.29500000004</v>
      </c>
    </row>
    <row r="103" spans="1:13" ht="409.6">
      <c r="A103" s="97">
        <v>267</v>
      </c>
      <c r="B103" s="97">
        <v>243</v>
      </c>
      <c r="C103" s="97" t="s">
        <v>1097</v>
      </c>
      <c r="D103" s="117"/>
      <c r="E103" s="117"/>
      <c r="F103" s="117">
        <v>0</v>
      </c>
      <c r="G103" s="117">
        <v>100000</v>
      </c>
      <c r="H103" s="117">
        <v>0</v>
      </c>
      <c r="I103" s="235">
        <f>MAYOR!I30</f>
        <v>100000</v>
      </c>
      <c r="J103" s="80">
        <f>MAYOR!J30</f>
        <v>171428.57142857142</v>
      </c>
      <c r="K103" s="140"/>
    </row>
    <row r="104" spans="1:13" ht="409.6">
      <c r="D104" s="118">
        <f t="shared" ref="D104:I104" si="14">SUM(D95:D103)</f>
        <v>1416544.04</v>
      </c>
      <c r="E104" s="118">
        <f t="shared" si="14"/>
        <v>1130019.6800000002</v>
      </c>
      <c r="F104" s="118">
        <f t="shared" si="14"/>
        <v>1536000</v>
      </c>
      <c r="G104" s="118">
        <f t="shared" si="14"/>
        <v>1377345.77</v>
      </c>
      <c r="H104" s="118">
        <f t="shared" si="14"/>
        <v>2100000</v>
      </c>
      <c r="I104" s="236">
        <f t="shared" si="14"/>
        <v>1594982.37</v>
      </c>
      <c r="J104" s="47">
        <f>SUM(J95:J103)</f>
        <v>2712729.1828571432</v>
      </c>
      <c r="K104" s="27"/>
    </row>
    <row r="105" spans="1:13" ht="409.6">
      <c r="A105" s="1" t="s">
        <v>924</v>
      </c>
      <c r="B105" s="13"/>
      <c r="C105" s="13"/>
      <c r="D105" s="117"/>
      <c r="E105" s="117"/>
      <c r="F105" s="117"/>
      <c r="G105" s="119"/>
      <c r="H105" s="119"/>
      <c r="I105" s="241"/>
      <c r="J105" s="91"/>
      <c r="K105" s="27"/>
      <c r="L105" s="27"/>
    </row>
    <row r="106" spans="1:13" ht="409.6">
      <c r="A106" s="13">
        <v>268</v>
      </c>
      <c r="B106" s="13">
        <v>123</v>
      </c>
      <c r="C106" s="13" t="s">
        <v>187</v>
      </c>
      <c r="D106" s="117">
        <v>710800</v>
      </c>
      <c r="E106" s="117">
        <v>289411.07</v>
      </c>
      <c r="F106" s="117">
        <v>243000</v>
      </c>
      <c r="G106" s="117">
        <v>35838.769999999997</v>
      </c>
      <c r="H106" s="117">
        <f>'COMMUNITY SERVICES'!H264</f>
        <v>100000</v>
      </c>
      <c r="I106" s="235">
        <f>'COMMUNITY SERVICES'!I264</f>
        <v>35838.769999999997</v>
      </c>
      <c r="J106" s="80">
        <f>'COMMUNITY SERVICES'!J264</f>
        <v>100000</v>
      </c>
      <c r="K106" s="140">
        <f>+E106/8*12</f>
        <v>434116.60499999998</v>
      </c>
      <c r="L106" s="27"/>
    </row>
    <row r="107" spans="1:13" ht="409.6">
      <c r="A107" s="13">
        <v>268</v>
      </c>
      <c r="B107" s="13">
        <v>135</v>
      </c>
      <c r="C107" s="13" t="s">
        <v>341</v>
      </c>
      <c r="D107" s="117">
        <v>130000</v>
      </c>
      <c r="E107" s="117">
        <v>124307.98</v>
      </c>
      <c r="F107" s="117">
        <v>198000</v>
      </c>
      <c r="G107" s="117">
        <v>116724.08</v>
      </c>
      <c r="H107" s="117">
        <f>'COMMUNITY SERVICES'!H265</f>
        <v>220000</v>
      </c>
      <c r="I107" s="235">
        <f>'COMMUNITY SERVICES'!I265</f>
        <v>135931.84</v>
      </c>
      <c r="J107" s="80">
        <f>'COMMUNITY SERVICES'!J265</f>
        <v>233026</v>
      </c>
      <c r="K107" s="140">
        <f t="shared" ref="K107:K116" si="15">+E107/8*12</f>
        <v>186461.97</v>
      </c>
      <c r="L107" s="27"/>
      <c r="M107" s="27">
        <f>K107*6/100+K107</f>
        <v>197649.6882</v>
      </c>
    </row>
    <row r="108" spans="1:13" ht="409.6">
      <c r="A108" s="13">
        <v>268</v>
      </c>
      <c r="B108" s="13">
        <v>175</v>
      </c>
      <c r="C108" s="13" t="s">
        <v>342</v>
      </c>
      <c r="D108" s="117">
        <v>1000</v>
      </c>
      <c r="E108" s="117">
        <v>988.69</v>
      </c>
      <c r="F108" s="117">
        <v>1483</v>
      </c>
      <c r="G108" s="117">
        <v>658.9</v>
      </c>
      <c r="H108" s="117">
        <f>'COMMUNITY SERVICES'!H266</f>
        <v>1483</v>
      </c>
      <c r="I108" s="235">
        <f>'COMMUNITY SERVICES'!I266</f>
        <v>658.9</v>
      </c>
      <c r="J108" s="80">
        <f>'COMMUNITY SERVICES'!J266</f>
        <v>0</v>
      </c>
      <c r="K108" s="140">
        <f t="shared" si="15"/>
        <v>1483.0350000000001</v>
      </c>
      <c r="L108" s="27"/>
    </row>
    <row r="109" spans="1:13" ht="409.6">
      <c r="A109" s="13">
        <v>268</v>
      </c>
      <c r="B109" s="13">
        <v>195</v>
      </c>
      <c r="C109" s="13" t="s">
        <v>38</v>
      </c>
      <c r="D109" s="117">
        <v>10000</v>
      </c>
      <c r="E109" s="117">
        <v>6067.8</v>
      </c>
      <c r="F109" s="117">
        <v>10000</v>
      </c>
      <c r="G109" s="117">
        <v>367.2</v>
      </c>
      <c r="H109" s="117">
        <f>'COMMUNITY SERVICES'!H267</f>
        <v>40000</v>
      </c>
      <c r="I109" s="235">
        <f>'COMMUNITY SERVICES'!I267</f>
        <v>367.2</v>
      </c>
      <c r="J109" s="80">
        <f>'COMMUNITY SERVICES'!J267</f>
        <v>30000</v>
      </c>
      <c r="K109" s="140">
        <f t="shared" si="15"/>
        <v>9101.7000000000007</v>
      </c>
      <c r="L109" s="27"/>
    </row>
    <row r="110" spans="1:13" ht="409.6">
      <c r="A110" s="13">
        <v>268</v>
      </c>
      <c r="B110" s="13">
        <v>196</v>
      </c>
      <c r="C110" s="13" t="s">
        <v>344</v>
      </c>
      <c r="D110" s="117">
        <v>504501</v>
      </c>
      <c r="E110" s="117">
        <v>504501</v>
      </c>
      <c r="F110" s="117">
        <v>200000</v>
      </c>
      <c r="G110" s="117">
        <v>252770.38</v>
      </c>
      <c r="H110" s="117">
        <f>'COMMUNITY SERVICES'!H268</f>
        <v>400000</v>
      </c>
      <c r="I110" s="235">
        <f>'COMMUNITY SERVICES'!I268</f>
        <v>252770.38</v>
      </c>
      <c r="J110" s="80">
        <f>'COMMUNITY SERVICES'!J268</f>
        <v>300000</v>
      </c>
      <c r="K110" s="140">
        <f t="shared" si="15"/>
        <v>756751.5</v>
      </c>
      <c r="L110" s="27"/>
    </row>
    <row r="111" spans="1:13" ht="409.6">
      <c r="A111" s="13">
        <v>268</v>
      </c>
      <c r="B111" s="13">
        <v>249</v>
      </c>
      <c r="C111" s="13" t="s">
        <v>345</v>
      </c>
      <c r="D111" s="117">
        <v>288393</v>
      </c>
      <c r="E111" s="117">
        <v>0</v>
      </c>
      <c r="F111" s="117">
        <v>364000</v>
      </c>
      <c r="G111" s="117">
        <v>0</v>
      </c>
      <c r="H111" s="117">
        <f>'COMMUNITY SERVICES'!H269</f>
        <v>150000</v>
      </c>
      <c r="I111" s="235">
        <f>'COMMUNITY SERVICES'!I269</f>
        <v>0</v>
      </c>
      <c r="J111" s="80">
        <f>'COMMUNITY SERVICES'!J269</f>
        <v>100000</v>
      </c>
      <c r="K111" s="140">
        <f t="shared" si="15"/>
        <v>0</v>
      </c>
      <c r="L111" s="27"/>
      <c r="M111" s="52" t="s">
        <v>932</v>
      </c>
    </row>
    <row r="112" spans="1:13" ht="409.6">
      <c r="A112" s="13">
        <v>268</v>
      </c>
      <c r="B112" s="13">
        <v>251</v>
      </c>
      <c r="C112" s="13" t="s">
        <v>347</v>
      </c>
      <c r="D112" s="117">
        <v>140000</v>
      </c>
      <c r="E112" s="117">
        <v>65359.43</v>
      </c>
      <c r="F112" s="117">
        <v>80000</v>
      </c>
      <c r="G112" s="117">
        <v>7400</v>
      </c>
      <c r="H112" s="117">
        <f>'COMMUNITY SERVICES'!H270</f>
        <v>40000</v>
      </c>
      <c r="I112" s="235">
        <f>'COMMUNITY SERVICES'!I270</f>
        <v>7400</v>
      </c>
      <c r="J112" s="80">
        <f>'COMMUNITY SERVICES'!J270</f>
        <v>40000</v>
      </c>
      <c r="K112" s="140">
        <f t="shared" si="15"/>
        <v>98039.145000000004</v>
      </c>
      <c r="L112" s="27"/>
    </row>
    <row r="113" spans="1:14" ht="409.6">
      <c r="A113" s="13">
        <v>268</v>
      </c>
      <c r="B113" s="13">
        <v>254</v>
      </c>
      <c r="C113" s="13" t="s">
        <v>349</v>
      </c>
      <c r="D113" s="117">
        <v>500000</v>
      </c>
      <c r="E113" s="117">
        <v>43200</v>
      </c>
      <c r="F113" s="117">
        <v>0</v>
      </c>
      <c r="G113" s="117">
        <v>535304</v>
      </c>
      <c r="H113" s="117">
        <f>'COMMUNITY SERVICES'!H271</f>
        <v>750000</v>
      </c>
      <c r="I113" s="235">
        <f>'COMMUNITY SERVICES'!I271</f>
        <v>535304</v>
      </c>
      <c r="J113" s="80">
        <f>'COMMUNITY SERVICES'!J271</f>
        <v>1026357.01</v>
      </c>
      <c r="K113" s="140">
        <f>+E113/8*12</f>
        <v>64800</v>
      </c>
      <c r="L113" s="27"/>
      <c r="N113" s="27">
        <f>142500*12</f>
        <v>1710000</v>
      </c>
    </row>
    <row r="114" spans="1:14" ht="409.6">
      <c r="A114" s="13">
        <v>268</v>
      </c>
      <c r="B114" s="13">
        <v>262</v>
      </c>
      <c r="C114" s="13" t="s">
        <v>212</v>
      </c>
      <c r="D114" s="117">
        <v>35000</v>
      </c>
      <c r="E114" s="117">
        <v>19000</v>
      </c>
      <c r="F114" s="117">
        <v>0</v>
      </c>
      <c r="G114" s="117">
        <v>0</v>
      </c>
      <c r="H114" s="117">
        <f>'COMMUNITY SERVICES'!H272</f>
        <v>0</v>
      </c>
      <c r="I114" s="235">
        <f>'COMMUNITY SERVICES'!I272</f>
        <v>0</v>
      </c>
      <c r="J114" s="80">
        <f>'COMMUNITY SERVICES'!J272</f>
        <v>0</v>
      </c>
      <c r="K114" s="140">
        <f>+E114/8*12</f>
        <v>28500</v>
      </c>
      <c r="L114" s="27"/>
    </row>
    <row r="115" spans="1:14" ht="409.6">
      <c r="A115" s="13">
        <v>268</v>
      </c>
      <c r="B115" s="13">
        <v>297</v>
      </c>
      <c r="C115" s="13" t="s">
        <v>355</v>
      </c>
      <c r="D115" s="117">
        <v>403213.96</v>
      </c>
      <c r="E115" s="117">
        <v>60000</v>
      </c>
      <c r="F115" s="117">
        <v>1000000</v>
      </c>
      <c r="G115" s="117">
        <v>32400</v>
      </c>
      <c r="H115" s="117">
        <f>'COMMUNITY SERVICES'!H273</f>
        <v>890000</v>
      </c>
      <c r="I115" s="235">
        <f>'COMMUNITY SERVICES'!I273</f>
        <v>104196</v>
      </c>
      <c r="J115" s="80">
        <f>'COMMUNITY SERVICES'!J273</f>
        <v>300000</v>
      </c>
      <c r="K115" s="140">
        <f t="shared" si="15"/>
        <v>90000</v>
      </c>
      <c r="L115" s="27"/>
    </row>
    <row r="116" spans="1:14" ht="409.6">
      <c r="A116" s="13">
        <v>268</v>
      </c>
      <c r="B116" s="13">
        <v>461</v>
      </c>
      <c r="C116" s="13" t="s">
        <v>357</v>
      </c>
      <c r="D116" s="117">
        <v>40000</v>
      </c>
      <c r="E116" s="117">
        <v>2470</v>
      </c>
      <c r="F116" s="117">
        <f>5000+300000</f>
        <v>305000</v>
      </c>
      <c r="G116" s="117">
        <v>75642.39</v>
      </c>
      <c r="H116" s="117">
        <f>'COMMUNITY SERVICES'!H274</f>
        <v>250000</v>
      </c>
      <c r="I116" s="235">
        <f>'COMMUNITY SERVICES'!I274</f>
        <v>105642.39</v>
      </c>
      <c r="J116" s="80">
        <f>'COMMUNITY SERVICES'!J274</f>
        <v>0</v>
      </c>
      <c r="K116" s="140">
        <f t="shared" si="15"/>
        <v>3705</v>
      </c>
      <c r="L116" s="27"/>
    </row>
    <row r="117" spans="1:14" ht="409.6">
      <c r="D117" s="118">
        <f t="shared" ref="D117:I117" si="16">SUM(D106:D116)</f>
        <v>2762907.96</v>
      </c>
      <c r="E117" s="118">
        <f t="shared" si="16"/>
        <v>1115305.9700000002</v>
      </c>
      <c r="F117" s="118">
        <f t="shared" si="16"/>
        <v>2401483</v>
      </c>
      <c r="G117" s="118">
        <f t="shared" si="16"/>
        <v>1057105.72</v>
      </c>
      <c r="H117" s="118">
        <f t="shared" si="16"/>
        <v>2841483</v>
      </c>
      <c r="I117" s="236">
        <f t="shared" si="16"/>
        <v>1178109.4799999997</v>
      </c>
      <c r="J117" s="47">
        <f>SUM(J106:J116)</f>
        <v>2129383.0099999998</v>
      </c>
      <c r="K117" s="140">
        <f>D117</f>
        <v>2762907.96</v>
      </c>
      <c r="L117" s="27"/>
    </row>
    <row r="118" spans="1:14" s="71" customFormat="1" ht="409.6">
      <c r="A118" s="71" t="s">
        <v>924</v>
      </c>
      <c r="D118" s="121"/>
      <c r="E118" s="121"/>
      <c r="F118" s="121"/>
      <c r="G118" s="121"/>
      <c r="H118" s="121"/>
      <c r="I118" s="238"/>
      <c r="J118" s="70"/>
      <c r="K118" s="70"/>
    </row>
    <row r="119" spans="1:14" s="35" customFormat="1" ht="409.6">
      <c r="A119" s="79">
        <v>274</v>
      </c>
      <c r="B119" s="79">
        <v>108</v>
      </c>
      <c r="C119" s="79" t="s">
        <v>385</v>
      </c>
      <c r="D119" s="117">
        <v>300000</v>
      </c>
      <c r="E119" s="117">
        <v>-18589.849999999999</v>
      </c>
      <c r="F119" s="117">
        <v>0</v>
      </c>
      <c r="G119" s="117">
        <v>0</v>
      </c>
      <c r="H119" s="117">
        <f>FINANCE!H40</f>
        <v>0</v>
      </c>
      <c r="I119" s="235">
        <f>FINANCE!I40</f>
        <v>0</v>
      </c>
      <c r="J119" s="84">
        <f>FINANCE!J40</f>
        <v>300000</v>
      </c>
      <c r="K119" s="165">
        <f>+E119/8*12</f>
        <v>-27884.774999999998</v>
      </c>
    </row>
    <row r="120" spans="1:14" s="35" customFormat="1" ht="409.6">
      <c r="A120" s="79">
        <v>274</v>
      </c>
      <c r="B120" s="79">
        <v>119</v>
      </c>
      <c r="C120" s="79" t="s">
        <v>388</v>
      </c>
      <c r="D120" s="117">
        <v>550000</v>
      </c>
      <c r="E120" s="117">
        <v>353846.21</v>
      </c>
      <c r="F120" s="117">
        <v>531000</v>
      </c>
      <c r="G120" s="117">
        <v>276943.09000000003</v>
      </c>
      <c r="H120" s="117">
        <f>FINANCE!H41</f>
        <v>531000</v>
      </c>
      <c r="I120" s="235">
        <f>FINANCE!I41</f>
        <v>327979.52000000002</v>
      </c>
      <c r="J120" s="84">
        <f>FINANCE!J41</f>
        <v>580000</v>
      </c>
      <c r="K120" s="165">
        <f t="shared" ref="K120:K134" si="17">+E120/8*12</f>
        <v>530769.31500000006</v>
      </c>
    </row>
    <row r="121" spans="1:14" s="35" customFormat="1" ht="409.6">
      <c r="A121" s="79">
        <v>274</v>
      </c>
      <c r="B121" s="79">
        <v>121</v>
      </c>
      <c r="C121" s="79" t="s">
        <v>390</v>
      </c>
      <c r="D121" s="117">
        <v>1000</v>
      </c>
      <c r="E121" s="117">
        <v>247.77</v>
      </c>
      <c r="F121" s="117">
        <v>500</v>
      </c>
      <c r="G121" s="117">
        <v>93.1</v>
      </c>
      <c r="H121" s="117">
        <f>FINANCE!H42</f>
        <v>500</v>
      </c>
      <c r="I121" s="235">
        <f>FINANCE!I42</f>
        <v>95.53</v>
      </c>
      <c r="J121" s="84">
        <f>FINANCE!J42</f>
        <v>200</v>
      </c>
      <c r="K121" s="165">
        <f t="shared" si="17"/>
        <v>371.65500000000003</v>
      </c>
    </row>
    <row r="122" spans="1:14" s="35" customFormat="1" ht="409.6">
      <c r="A122" s="79">
        <v>274</v>
      </c>
      <c r="B122" s="79">
        <v>123</v>
      </c>
      <c r="C122" s="79" t="s">
        <v>187</v>
      </c>
      <c r="D122" s="117">
        <v>10000</v>
      </c>
      <c r="E122" s="117">
        <v>0</v>
      </c>
      <c r="F122" s="117">
        <v>0</v>
      </c>
      <c r="G122" s="117">
        <v>0</v>
      </c>
      <c r="H122" s="117">
        <f>FINANCE!H43</f>
        <v>0</v>
      </c>
      <c r="I122" s="235">
        <f>FINANCE!I43</f>
        <v>0</v>
      </c>
      <c r="J122" s="84">
        <f>FINANCE!J43</f>
        <v>2000</v>
      </c>
      <c r="K122" s="165">
        <f t="shared" si="17"/>
        <v>0</v>
      </c>
    </row>
    <row r="123" spans="1:14" s="35" customFormat="1" ht="409.6">
      <c r="A123" s="79">
        <v>274</v>
      </c>
      <c r="B123" s="79">
        <v>129</v>
      </c>
      <c r="C123" s="79" t="s">
        <v>230</v>
      </c>
      <c r="D123" s="117">
        <v>10000</v>
      </c>
      <c r="E123" s="117">
        <v>0</v>
      </c>
      <c r="F123" s="117">
        <v>230000</v>
      </c>
      <c r="G123" s="117">
        <v>0</v>
      </c>
      <c r="H123" s="117">
        <f>FINANCE!H44</f>
        <v>230000</v>
      </c>
      <c r="I123" s="235">
        <f>FINANCE!I44</f>
        <v>-92414.13</v>
      </c>
      <c r="J123" s="84">
        <f>FINANCE!J44</f>
        <v>20000</v>
      </c>
      <c r="K123" s="165">
        <f t="shared" si="17"/>
        <v>0</v>
      </c>
    </row>
    <row r="124" spans="1:14" s="35" customFormat="1" ht="409.6">
      <c r="A124" s="79">
        <v>274</v>
      </c>
      <c r="B124" s="79">
        <v>175</v>
      </c>
      <c r="C124" s="79" t="s">
        <v>127</v>
      </c>
      <c r="D124" s="117">
        <v>10000</v>
      </c>
      <c r="E124" s="117">
        <v>816.81</v>
      </c>
      <c r="F124" s="117">
        <v>5000</v>
      </c>
      <c r="G124" s="117">
        <v>208.86</v>
      </c>
      <c r="H124" s="117">
        <f>FINANCE!H45</f>
        <v>5000</v>
      </c>
      <c r="I124" s="235">
        <f>FINANCE!I45</f>
        <v>247.63</v>
      </c>
      <c r="J124" s="84">
        <f>FINANCE!J45</f>
        <v>1000</v>
      </c>
      <c r="K124" s="165">
        <f t="shared" si="17"/>
        <v>1225.2149999999999</v>
      </c>
    </row>
    <row r="125" spans="1:14" s="35" customFormat="1" ht="409.6">
      <c r="A125" s="79">
        <v>274</v>
      </c>
      <c r="B125" s="79">
        <v>183</v>
      </c>
      <c r="C125" s="79" t="s">
        <v>395</v>
      </c>
      <c r="D125" s="117">
        <v>301395.08</v>
      </c>
      <c r="E125" s="117">
        <v>0</v>
      </c>
      <c r="F125" s="117">
        <v>100000</v>
      </c>
      <c r="G125" s="117">
        <v>0</v>
      </c>
      <c r="H125" s="117">
        <f>FINANCE!H46</f>
        <v>50000</v>
      </c>
      <c r="I125" s="235">
        <f>FINANCE!I46</f>
        <v>0</v>
      </c>
      <c r="J125" s="84">
        <f>FINANCE!J46</f>
        <v>0</v>
      </c>
      <c r="K125" s="165">
        <f t="shared" si="17"/>
        <v>0</v>
      </c>
    </row>
    <row r="126" spans="1:14" s="35" customFormat="1" ht="409.6">
      <c r="A126" s="79">
        <v>274</v>
      </c>
      <c r="B126" s="79">
        <v>191</v>
      </c>
      <c r="C126" s="79" t="s">
        <v>201</v>
      </c>
      <c r="D126" s="117">
        <v>10000</v>
      </c>
      <c r="E126" s="117">
        <v>0</v>
      </c>
      <c r="F126" s="117">
        <v>10000</v>
      </c>
      <c r="G126" s="117">
        <v>152448.42000000001</v>
      </c>
      <c r="H126" s="117">
        <f>FINANCE!H47</f>
        <v>300000</v>
      </c>
      <c r="I126" s="235">
        <f>FINANCE!I47</f>
        <v>152448.42000000001</v>
      </c>
      <c r="J126" s="84">
        <f>FINANCE!J47</f>
        <v>500000</v>
      </c>
      <c r="K126" s="165">
        <f t="shared" si="17"/>
        <v>0</v>
      </c>
    </row>
    <row r="127" spans="1:14" s="35" customFormat="1" ht="409.6">
      <c r="A127" s="79">
        <v>274</v>
      </c>
      <c r="B127" s="79">
        <v>193</v>
      </c>
      <c r="C127" s="79" t="s">
        <v>36</v>
      </c>
      <c r="D127" s="117">
        <v>4540000</v>
      </c>
      <c r="E127" s="117">
        <v>2344655.96</v>
      </c>
      <c r="F127" s="117">
        <v>0</v>
      </c>
      <c r="G127" s="117">
        <v>626429.57999999996</v>
      </c>
      <c r="H127" s="117">
        <f>FINANCE!H48</f>
        <v>1000000</v>
      </c>
      <c r="I127" s="235">
        <f>FINANCE!I48</f>
        <v>729006.07</v>
      </c>
      <c r="J127" s="84">
        <f>FINANCE!J48</f>
        <v>800000</v>
      </c>
      <c r="K127" s="165">
        <f t="shared" si="17"/>
        <v>3516983.94</v>
      </c>
    </row>
    <row r="128" spans="1:14" s="35" customFormat="1" ht="409.6">
      <c r="A128" s="79">
        <v>274</v>
      </c>
      <c r="B128" s="79">
        <v>195</v>
      </c>
      <c r="C128" s="79" t="s">
        <v>38</v>
      </c>
      <c r="D128" s="117">
        <v>270000</v>
      </c>
      <c r="E128" s="117">
        <v>137110.64000000001</v>
      </c>
      <c r="F128" s="117">
        <v>206000</v>
      </c>
      <c r="G128" s="117">
        <v>209844.2</v>
      </c>
      <c r="H128" s="117">
        <f>FINANCE!H49</f>
        <v>400000</v>
      </c>
      <c r="I128" s="235">
        <f>FINANCE!I49</f>
        <v>212927.39</v>
      </c>
      <c r="J128" s="84">
        <f>FINANCE!J49</f>
        <v>200000</v>
      </c>
      <c r="K128" s="165">
        <f t="shared" si="17"/>
        <v>205665.96000000002</v>
      </c>
    </row>
    <row r="129" spans="1:11" s="35" customFormat="1" ht="409.6">
      <c r="A129" s="79">
        <v>274</v>
      </c>
      <c r="B129" s="79">
        <v>197</v>
      </c>
      <c r="C129" s="79" t="s">
        <v>399</v>
      </c>
      <c r="D129" s="117">
        <v>100000</v>
      </c>
      <c r="E129" s="117">
        <v>0</v>
      </c>
      <c r="F129" s="117">
        <v>0</v>
      </c>
      <c r="G129" s="117">
        <v>0</v>
      </c>
      <c r="H129" s="117">
        <f>FINANCE!H50</f>
        <v>0</v>
      </c>
      <c r="I129" s="235">
        <f>FINANCE!I50</f>
        <v>0</v>
      </c>
      <c r="J129" s="84">
        <f>FINANCE!J50</f>
        <v>0</v>
      </c>
      <c r="K129" s="165">
        <f t="shared" si="17"/>
        <v>0</v>
      </c>
    </row>
    <row r="130" spans="1:11" s="35" customFormat="1" ht="409.6">
      <c r="A130" s="79">
        <v>274</v>
      </c>
      <c r="B130" s="79">
        <v>199</v>
      </c>
      <c r="C130" s="79" t="s">
        <v>401</v>
      </c>
      <c r="D130" s="117">
        <v>100000</v>
      </c>
      <c r="E130" s="117">
        <v>0</v>
      </c>
      <c r="F130" s="117">
        <v>0</v>
      </c>
      <c r="G130" s="117">
        <v>0</v>
      </c>
      <c r="H130" s="117">
        <f>FINANCE!H51</f>
        <v>0</v>
      </c>
      <c r="I130" s="235">
        <f>FINANCE!I51</f>
        <v>0</v>
      </c>
      <c r="J130" s="84">
        <f>FINANCE!J51</f>
        <v>0</v>
      </c>
      <c r="K130" s="165">
        <f t="shared" si="17"/>
        <v>0</v>
      </c>
    </row>
    <row r="131" spans="1:11" s="35" customFormat="1" ht="409.6">
      <c r="A131" s="79">
        <v>274</v>
      </c>
      <c r="B131" s="79">
        <v>204</v>
      </c>
      <c r="C131" s="79" t="s">
        <v>42</v>
      </c>
      <c r="D131" s="117">
        <v>1400000</v>
      </c>
      <c r="E131" s="117">
        <v>990824.12</v>
      </c>
      <c r="F131" s="117">
        <v>1500000</v>
      </c>
      <c r="G131" s="117">
        <v>498342.82</v>
      </c>
      <c r="H131" s="117">
        <f>FINANCE!H52</f>
        <v>900000</v>
      </c>
      <c r="I131" s="235">
        <f>FINANCE!I52</f>
        <v>557522.16</v>
      </c>
      <c r="J131" s="84">
        <f>FINANCE!J52</f>
        <v>600000</v>
      </c>
      <c r="K131" s="165">
        <f t="shared" si="17"/>
        <v>1486236.18</v>
      </c>
    </row>
    <row r="132" spans="1:11" s="35" customFormat="1" ht="409.6">
      <c r="A132" s="79">
        <v>274</v>
      </c>
      <c r="B132" s="79">
        <v>243</v>
      </c>
      <c r="C132" s="79" t="s">
        <v>408</v>
      </c>
      <c r="D132" s="117">
        <v>50000</v>
      </c>
      <c r="E132" s="117">
        <v>24550.799999999999</v>
      </c>
      <c r="F132" s="117">
        <v>30000</v>
      </c>
      <c r="G132" s="117">
        <v>13526.61</v>
      </c>
      <c r="H132" s="117">
        <f>FINANCE!H53</f>
        <v>30000</v>
      </c>
      <c r="I132" s="235">
        <f>FINANCE!I53</f>
        <v>13526.61</v>
      </c>
      <c r="J132" s="84">
        <f>FINANCE!J53</f>
        <v>30000</v>
      </c>
      <c r="K132" s="165">
        <f t="shared" si="17"/>
        <v>36826.199999999997</v>
      </c>
    </row>
    <row r="133" spans="1:11" s="35" customFormat="1" ht="409.6">
      <c r="A133" s="79">
        <v>274</v>
      </c>
      <c r="B133" s="79">
        <v>244</v>
      </c>
      <c r="C133" s="79" t="s">
        <v>410</v>
      </c>
      <c r="D133" s="117">
        <v>20000</v>
      </c>
      <c r="E133" s="117">
        <v>1350</v>
      </c>
      <c r="F133" s="117">
        <v>0</v>
      </c>
      <c r="G133" s="117">
        <v>0</v>
      </c>
      <c r="H133" s="117">
        <f>FINANCE!H54</f>
        <v>0</v>
      </c>
      <c r="I133" s="235">
        <f>FINANCE!I54</f>
        <v>0</v>
      </c>
      <c r="J133" s="84">
        <f>FINANCE!J54</f>
        <v>0</v>
      </c>
      <c r="K133" s="165">
        <f t="shared" si="17"/>
        <v>2025</v>
      </c>
    </row>
    <row r="134" spans="1:11" s="35" customFormat="1" ht="409.6">
      <c r="A134" s="79">
        <v>274</v>
      </c>
      <c r="B134" s="79">
        <v>246</v>
      </c>
      <c r="C134" s="79" t="s">
        <v>412</v>
      </c>
      <c r="D134" s="117">
        <v>300000</v>
      </c>
      <c r="E134" s="117">
        <v>150471.99</v>
      </c>
      <c r="F134" s="117">
        <v>0</v>
      </c>
      <c r="G134" s="117">
        <v>99935.95</v>
      </c>
      <c r="H134" s="117">
        <f>FINANCE!H55</f>
        <v>200000</v>
      </c>
      <c r="I134" s="235">
        <f>FINANCE!I55</f>
        <v>99935.95</v>
      </c>
      <c r="J134" s="84">
        <f>FINANCE!J55</f>
        <v>172000</v>
      </c>
      <c r="K134" s="165">
        <f t="shared" si="17"/>
        <v>225707.98499999999</v>
      </c>
    </row>
    <row r="135" spans="1:11" s="35" customFormat="1" ht="409.6">
      <c r="A135" s="363"/>
      <c r="B135" s="97">
        <v>456</v>
      </c>
      <c r="C135" s="97" t="s">
        <v>226</v>
      </c>
      <c r="D135" s="98">
        <v>85000</v>
      </c>
      <c r="E135" s="98">
        <v>76326.59</v>
      </c>
      <c r="F135" s="98">
        <v>70000</v>
      </c>
      <c r="G135" s="98">
        <v>104313.15</v>
      </c>
      <c r="H135" s="98">
        <v>150000</v>
      </c>
      <c r="I135" s="98">
        <v>104313.15</v>
      </c>
      <c r="J135" s="98">
        <f>FINANCE!J58</f>
        <v>500000</v>
      </c>
      <c r="K135" s="165"/>
    </row>
    <row r="136" spans="1:11" s="35" customFormat="1" ht="409.6">
      <c r="A136" s="360">
        <v>274</v>
      </c>
      <c r="B136" s="79">
        <v>457</v>
      </c>
      <c r="C136" s="79" t="s">
        <v>985</v>
      </c>
      <c r="D136" s="104">
        <v>750000</v>
      </c>
      <c r="E136" s="104">
        <v>192203.79</v>
      </c>
      <c r="F136" s="104">
        <v>1154000</v>
      </c>
      <c r="G136" s="104">
        <v>401730</v>
      </c>
      <c r="H136" s="104">
        <f>CAPITAL!F82</f>
        <v>3017754.23</v>
      </c>
      <c r="I136" s="235">
        <v>401730</v>
      </c>
      <c r="J136" s="98">
        <f>FINANCE!J59</f>
        <v>1815000</v>
      </c>
      <c r="K136" s="165"/>
    </row>
    <row r="137" spans="1:11" s="35" customFormat="1" ht="409.6">
      <c r="D137" s="118">
        <f t="shared" ref="D137:I137" si="18">SUM(D119:D134)</f>
        <v>7972395.0800000001</v>
      </c>
      <c r="E137" s="118">
        <f t="shared" si="18"/>
        <v>3985284.45</v>
      </c>
      <c r="F137" s="118">
        <f t="shared" si="18"/>
        <v>2612500</v>
      </c>
      <c r="G137" s="118">
        <f t="shared" si="18"/>
        <v>1877772.63</v>
      </c>
      <c r="H137" s="118">
        <f t="shared" si="18"/>
        <v>3646500</v>
      </c>
      <c r="I137" s="236">
        <f t="shared" si="18"/>
        <v>2001275.1500000004</v>
      </c>
      <c r="J137" s="74">
        <f>SUM(J119:J136)</f>
        <v>5520200</v>
      </c>
      <c r="K137" s="38"/>
    </row>
    <row r="138" spans="1:11" s="71" customFormat="1" ht="409.6">
      <c r="A138" s="71" t="s">
        <v>924</v>
      </c>
      <c r="D138" s="121"/>
      <c r="E138" s="121"/>
      <c r="F138" s="121"/>
      <c r="G138" s="121"/>
      <c r="H138" s="121"/>
      <c r="I138" s="238"/>
      <c r="J138" s="70"/>
      <c r="K138" s="70"/>
    </row>
    <row r="139" spans="1:11" s="35" customFormat="1" ht="409.6">
      <c r="A139" s="79">
        <v>275</v>
      </c>
      <c r="B139" s="79">
        <v>123</v>
      </c>
      <c r="C139" s="79" t="s">
        <v>187</v>
      </c>
      <c r="D139" s="117">
        <v>652000</v>
      </c>
      <c r="E139" s="117">
        <v>424715.98</v>
      </c>
      <c r="F139" s="117">
        <v>200000</v>
      </c>
      <c r="G139" s="117">
        <v>13758.92</v>
      </c>
      <c r="H139" s="117">
        <f>TECHNICAL!H36</f>
        <v>90000</v>
      </c>
      <c r="I139" s="235">
        <f>TECHNICAL!I36</f>
        <v>60070.92</v>
      </c>
      <c r="J139" s="84">
        <f>TECHNICAL!J36</f>
        <v>120000</v>
      </c>
      <c r="K139" s="165">
        <f>+E139/8*12</f>
        <v>637073.97</v>
      </c>
    </row>
    <row r="140" spans="1:11" s="35" customFormat="1" ht="409.6">
      <c r="A140" s="79"/>
      <c r="B140" s="79"/>
      <c r="C140" s="337" t="s">
        <v>577</v>
      </c>
      <c r="D140" s="338"/>
      <c r="E140" s="338"/>
      <c r="F140" s="338"/>
      <c r="G140" s="338"/>
      <c r="H140" s="338"/>
      <c r="I140" s="338"/>
      <c r="J140" s="338">
        <v>2200462.9700000002</v>
      </c>
      <c r="K140" s="165"/>
    </row>
    <row r="141" spans="1:11" s="35" customFormat="1" ht="409.6">
      <c r="A141" s="79">
        <v>275</v>
      </c>
      <c r="B141" s="79">
        <v>175</v>
      </c>
      <c r="C141" s="79" t="s">
        <v>195</v>
      </c>
      <c r="D141" s="117">
        <v>105000</v>
      </c>
      <c r="E141" s="117">
        <v>34872.370000000003</v>
      </c>
      <c r="F141" s="117">
        <v>50000</v>
      </c>
      <c r="G141" s="117">
        <v>59352.88</v>
      </c>
      <c r="H141" s="117">
        <f>TECHNICAL!H37</f>
        <v>100000</v>
      </c>
      <c r="I141" s="235">
        <f>TECHNICAL!I37</f>
        <v>59352.88</v>
      </c>
      <c r="J141" s="84">
        <f>TECHNICAL!J37</f>
        <v>120000</v>
      </c>
      <c r="K141" s="165">
        <f t="shared" ref="K141:K146" si="19">+E141/8*12</f>
        <v>52308.555000000008</v>
      </c>
    </row>
    <row r="142" spans="1:11" s="35" customFormat="1" ht="409.6">
      <c r="A142" s="79">
        <v>275</v>
      </c>
      <c r="B142" s="79">
        <v>193</v>
      </c>
      <c r="C142" s="79" t="s">
        <v>255</v>
      </c>
      <c r="D142" s="117">
        <v>1502713</v>
      </c>
      <c r="E142" s="117">
        <v>12471.45</v>
      </c>
      <c r="F142" s="117">
        <v>100000</v>
      </c>
      <c r="G142" s="117">
        <v>0</v>
      </c>
      <c r="H142" s="117">
        <f>TECHNICAL!H38</f>
        <v>100000</v>
      </c>
      <c r="I142" s="235">
        <f>TECHNICAL!I38</f>
        <v>0</v>
      </c>
      <c r="J142" s="84">
        <f>TECHNICAL!J38</f>
        <v>100000</v>
      </c>
      <c r="K142" s="165">
        <f t="shared" si="19"/>
        <v>18707.175000000003</v>
      </c>
    </row>
    <row r="143" spans="1:11" s="35" customFormat="1" ht="409.6">
      <c r="A143" s="79">
        <v>275</v>
      </c>
      <c r="B143" s="79">
        <v>195</v>
      </c>
      <c r="C143" s="79" t="s">
        <v>38</v>
      </c>
      <c r="D143" s="117">
        <v>40000</v>
      </c>
      <c r="E143" s="117">
        <v>2302.12</v>
      </c>
      <c r="F143" s="117">
        <v>10000</v>
      </c>
      <c r="G143" s="117">
        <v>21248.62</v>
      </c>
      <c r="H143" s="117">
        <f>TECHNICAL!H39</f>
        <v>50000</v>
      </c>
      <c r="I143" s="235">
        <f>TECHNICAL!I39</f>
        <v>21248.62</v>
      </c>
      <c r="J143" s="84">
        <f>TECHNICAL!J39</f>
        <v>60000</v>
      </c>
      <c r="K143" s="165">
        <f t="shared" si="19"/>
        <v>3453.18</v>
      </c>
    </row>
    <row r="144" spans="1:11" s="35" customFormat="1" ht="409.6">
      <c r="A144" s="79">
        <v>275</v>
      </c>
      <c r="B144" s="79">
        <v>204</v>
      </c>
      <c r="C144" s="79" t="s">
        <v>42</v>
      </c>
      <c r="D144" s="117">
        <v>20000</v>
      </c>
      <c r="E144" s="117">
        <v>29019.77</v>
      </c>
      <c r="F144" s="117">
        <v>10000</v>
      </c>
      <c r="G144" s="117">
        <v>11089.09</v>
      </c>
      <c r="H144" s="117">
        <f>TECHNICAL!H40</f>
        <v>22000</v>
      </c>
      <c r="I144" s="235">
        <f>TECHNICAL!I40</f>
        <v>11089.09</v>
      </c>
      <c r="J144" s="84">
        <f>TECHNICAL!J40</f>
        <v>22000</v>
      </c>
      <c r="K144" s="165">
        <f t="shared" si="19"/>
        <v>43529.654999999999</v>
      </c>
    </row>
    <row r="145" spans="1:12" s="35" customFormat="1" ht="409.6">
      <c r="A145" s="79">
        <v>275</v>
      </c>
      <c r="B145" s="79">
        <v>240</v>
      </c>
      <c r="C145" s="79" t="s">
        <v>466</v>
      </c>
      <c r="D145" s="117">
        <v>689200</v>
      </c>
      <c r="E145" s="117">
        <v>189200</v>
      </c>
      <c r="F145" s="117">
        <v>200000</v>
      </c>
      <c r="G145" s="117">
        <v>0</v>
      </c>
      <c r="H145" s="117">
        <f>TECHNICAL!H41</f>
        <v>0</v>
      </c>
      <c r="I145" s="235">
        <f>TECHNICAL!I41</f>
        <v>0</v>
      </c>
      <c r="J145" s="84">
        <f>TECHNICAL!J41</f>
        <v>0</v>
      </c>
      <c r="K145" s="165">
        <f t="shared" si="19"/>
        <v>283800</v>
      </c>
    </row>
    <row r="146" spans="1:12" s="35" customFormat="1" ht="409.6">
      <c r="A146" s="79">
        <v>275</v>
      </c>
      <c r="B146" s="79">
        <v>243</v>
      </c>
      <c r="C146" s="79" t="s">
        <v>408</v>
      </c>
      <c r="D146" s="117">
        <v>13000</v>
      </c>
      <c r="E146" s="117">
        <v>2485.52</v>
      </c>
      <c r="F146" s="117">
        <v>3000</v>
      </c>
      <c r="G146" s="117">
        <v>0</v>
      </c>
      <c r="H146" s="117">
        <f>TECHNICAL!H42</f>
        <v>0</v>
      </c>
      <c r="I146" s="235">
        <f>TECHNICAL!I42</f>
        <v>0</v>
      </c>
      <c r="J146" s="84">
        <f>TECHNICAL!J42</f>
        <v>5000</v>
      </c>
      <c r="K146" s="165">
        <f t="shared" si="19"/>
        <v>3728.2799999999997</v>
      </c>
    </row>
    <row r="147" spans="1:12" s="35" customFormat="1" ht="409.6">
      <c r="D147" s="118">
        <f t="shared" ref="D147:J147" si="20">SUM(D139:D146)</f>
        <v>3021913</v>
      </c>
      <c r="E147" s="118">
        <f t="shared" si="20"/>
        <v>695067.21</v>
      </c>
      <c r="F147" s="118">
        <f t="shared" si="20"/>
        <v>573000</v>
      </c>
      <c r="G147" s="118">
        <f t="shared" si="20"/>
        <v>105449.51</v>
      </c>
      <c r="H147" s="118">
        <f>SUM(H139:H146)</f>
        <v>362000</v>
      </c>
      <c r="I147" s="236">
        <f t="shared" si="20"/>
        <v>151761.50999999998</v>
      </c>
      <c r="J147" s="74">
        <f t="shared" si="20"/>
        <v>2627462.9700000002</v>
      </c>
      <c r="K147" s="38"/>
      <c r="L147" s="38"/>
    </row>
    <row r="148" spans="1:12" s="1" customFormat="1" ht="409.6">
      <c r="A148" s="1" t="s">
        <v>924</v>
      </c>
      <c r="D148" s="121"/>
      <c r="E148" s="121"/>
      <c r="F148" s="121"/>
      <c r="G148" s="121"/>
      <c r="H148" s="121"/>
      <c r="I148" s="238"/>
      <c r="J148" s="44"/>
      <c r="K148" s="44"/>
      <c r="L148" s="44"/>
    </row>
    <row r="149" spans="1:12" ht="409.6">
      <c r="A149" s="13">
        <v>281</v>
      </c>
      <c r="B149" s="13">
        <v>123</v>
      </c>
      <c r="C149" s="13" t="s">
        <v>187</v>
      </c>
      <c r="D149" s="117">
        <v>177000</v>
      </c>
      <c r="E149" s="117">
        <v>75515.7</v>
      </c>
      <c r="F149" s="117">
        <v>120000</v>
      </c>
      <c r="G149" s="117">
        <v>512.34</v>
      </c>
      <c r="H149" s="117">
        <f>'COMMUNITY SERVICES'!H313</f>
        <v>70000</v>
      </c>
      <c r="I149" s="235">
        <f>'COMMUNITY SERVICES'!I313</f>
        <v>562.34</v>
      </c>
      <c r="J149" s="80">
        <f>'COMMUNITY SERVICES'!J313</f>
        <v>35000</v>
      </c>
      <c r="K149" s="27"/>
      <c r="L149" s="27"/>
    </row>
    <row r="150" spans="1:12" ht="409.6">
      <c r="A150" s="13">
        <v>281</v>
      </c>
      <c r="B150" s="13">
        <v>127</v>
      </c>
      <c r="C150" s="13" t="s">
        <v>507</v>
      </c>
      <c r="D150" s="117">
        <v>10000</v>
      </c>
      <c r="E150" s="117">
        <v>0</v>
      </c>
      <c r="F150" s="117">
        <v>30000</v>
      </c>
      <c r="G150" s="117">
        <v>0</v>
      </c>
      <c r="H150" s="117">
        <f>'COMMUNITY SERVICES'!H314</f>
        <v>30000</v>
      </c>
      <c r="I150" s="235">
        <f>'COMMUNITY SERVICES'!I314</f>
        <v>0</v>
      </c>
      <c r="J150" s="80">
        <f>'COMMUNITY SERVICES'!J314</f>
        <v>10000</v>
      </c>
      <c r="K150" s="27"/>
      <c r="L150" s="27"/>
    </row>
    <row r="151" spans="1:12" ht="409.6">
      <c r="A151" s="13">
        <v>281</v>
      </c>
      <c r="B151" s="13">
        <v>175</v>
      </c>
      <c r="C151" s="13" t="s">
        <v>195</v>
      </c>
      <c r="D151" s="117">
        <v>300000</v>
      </c>
      <c r="E151" s="117">
        <v>225751.57</v>
      </c>
      <c r="F151" s="117">
        <v>250000</v>
      </c>
      <c r="G151" s="117">
        <v>174321.06</v>
      </c>
      <c r="H151" s="117">
        <f>'COMMUNITY SERVICES'!H315</f>
        <v>348000</v>
      </c>
      <c r="I151" s="235">
        <f>'COMMUNITY SERVICES'!I315</f>
        <v>176680.62</v>
      </c>
      <c r="J151" s="80">
        <f>'COMMUNITY SERVICES'!J315</f>
        <v>310000</v>
      </c>
      <c r="K151" s="27"/>
      <c r="L151" s="27"/>
    </row>
    <row r="152" spans="1:12" ht="409.6">
      <c r="A152" s="13">
        <v>281</v>
      </c>
      <c r="B152" s="13">
        <v>183</v>
      </c>
      <c r="C152" s="13" t="s">
        <v>75</v>
      </c>
      <c r="D152" s="117">
        <v>5000</v>
      </c>
      <c r="E152" s="117">
        <v>18000</v>
      </c>
      <c r="F152" s="117">
        <v>0</v>
      </c>
      <c r="G152" s="117">
        <v>0</v>
      </c>
      <c r="H152" s="117">
        <f>'COMMUNITY SERVICES'!H316</f>
        <v>0</v>
      </c>
      <c r="I152" s="235">
        <f>'COMMUNITY SERVICES'!I316</f>
        <v>0</v>
      </c>
      <c r="J152" s="80">
        <f>'COMMUNITY SERVICES'!J316</f>
        <v>0</v>
      </c>
      <c r="K152" s="27"/>
      <c r="L152" s="27"/>
    </row>
    <row r="153" spans="1:12" s="1" customFormat="1" ht="409.6">
      <c r="A153" s="17">
        <v>281</v>
      </c>
      <c r="B153" s="17">
        <v>193</v>
      </c>
      <c r="C153" s="17" t="s">
        <v>938</v>
      </c>
      <c r="D153" s="122"/>
      <c r="E153" s="122"/>
      <c r="F153" s="122">
        <v>80000</v>
      </c>
      <c r="G153" s="122">
        <v>472587.51</v>
      </c>
      <c r="H153" s="117">
        <f>'COMMUNITY SERVICES'!H317</f>
        <v>500000</v>
      </c>
      <c r="I153" s="235">
        <f>'COMMUNITY SERVICES'!I317</f>
        <v>472587.51</v>
      </c>
      <c r="J153" s="80">
        <f>'COMMUNITY SERVICES'!J317</f>
        <v>356331.61</v>
      </c>
      <c r="K153" s="44"/>
      <c r="L153" s="44"/>
    </row>
    <row r="154" spans="1:12" ht="409.6">
      <c r="A154" s="13">
        <v>281</v>
      </c>
      <c r="B154" s="13">
        <v>195</v>
      </c>
      <c r="C154" s="13" t="s">
        <v>38</v>
      </c>
      <c r="D154" s="117">
        <v>2500</v>
      </c>
      <c r="E154" s="117">
        <v>0</v>
      </c>
      <c r="F154" s="117">
        <v>0</v>
      </c>
      <c r="G154" s="117">
        <v>21255.759999999998</v>
      </c>
      <c r="H154" s="117">
        <f>'COMMUNITY SERVICES'!H318</f>
        <v>40000</v>
      </c>
      <c r="I154" s="235">
        <f>'COMMUNITY SERVICES'!I318</f>
        <v>21255.759999999998</v>
      </c>
      <c r="J154" s="80">
        <f>'COMMUNITY SERVICES'!J318</f>
        <v>40000</v>
      </c>
      <c r="K154" s="27"/>
      <c r="L154" s="27"/>
    </row>
    <row r="155" spans="1:12" ht="409.6">
      <c r="A155" s="13">
        <v>281</v>
      </c>
      <c r="B155" s="13">
        <v>196</v>
      </c>
      <c r="C155" s="13" t="s">
        <v>512</v>
      </c>
      <c r="D155" s="117">
        <v>10000</v>
      </c>
      <c r="E155" s="117">
        <v>0</v>
      </c>
      <c r="F155" s="117">
        <v>10000</v>
      </c>
      <c r="G155" s="117">
        <v>0</v>
      </c>
      <c r="H155" s="117">
        <f>'COMMUNITY SERVICES'!H319</f>
        <v>10000</v>
      </c>
      <c r="I155" s="235">
        <f>'COMMUNITY SERVICES'!I319</f>
        <v>0</v>
      </c>
      <c r="J155" s="80">
        <f>'COMMUNITY SERVICES'!J319</f>
        <v>0</v>
      </c>
      <c r="K155" s="27"/>
      <c r="L155" s="27"/>
    </row>
    <row r="156" spans="1:12" ht="409.6">
      <c r="A156" s="13">
        <v>281</v>
      </c>
      <c r="B156" s="13">
        <v>262</v>
      </c>
      <c r="C156" s="13" t="s">
        <v>212</v>
      </c>
      <c r="D156" s="117">
        <v>200000</v>
      </c>
      <c r="E156" s="117">
        <v>173500</v>
      </c>
      <c r="F156" s="117">
        <v>0</v>
      </c>
      <c r="G156" s="117">
        <v>0</v>
      </c>
      <c r="H156" s="117">
        <f>'COMMUNITY SERVICES'!H320</f>
        <v>0</v>
      </c>
      <c r="I156" s="235">
        <f>'COMMUNITY SERVICES'!I320</f>
        <v>0</v>
      </c>
      <c r="J156" s="80">
        <f>'COMMUNITY SERVICES'!J320</f>
        <v>0</v>
      </c>
      <c r="K156" s="27"/>
      <c r="L156" s="27"/>
    </row>
    <row r="157" spans="1:12" ht="409.6">
      <c r="D157" s="118">
        <f t="shared" ref="D157:J157" si="21">SUM(D149:D156)</f>
        <v>704500</v>
      </c>
      <c r="E157" s="118">
        <f t="shared" si="21"/>
        <v>492767.27</v>
      </c>
      <c r="F157" s="118">
        <f t="shared" si="21"/>
        <v>490000</v>
      </c>
      <c r="G157" s="118">
        <f t="shared" si="21"/>
        <v>668676.67000000004</v>
      </c>
      <c r="H157" s="118">
        <f>SUM(H149:H156)</f>
        <v>998000</v>
      </c>
      <c r="I157" s="236">
        <f t="shared" si="21"/>
        <v>671086.23</v>
      </c>
      <c r="J157" s="47">
        <f t="shared" si="21"/>
        <v>751331.61</v>
      </c>
      <c r="K157" s="27"/>
      <c r="L157" s="27"/>
    </row>
    <row r="158" spans="1:12" s="71" customFormat="1" ht="409.6">
      <c r="A158" s="71" t="s">
        <v>924</v>
      </c>
      <c r="D158" s="121"/>
      <c r="E158" s="121"/>
      <c r="F158" s="121"/>
      <c r="G158" s="121"/>
      <c r="H158" s="121"/>
      <c r="I158" s="238"/>
      <c r="J158" s="70"/>
      <c r="K158" s="70"/>
    </row>
    <row r="159" spans="1:12" s="35" customFormat="1" ht="409.6">
      <c r="A159" s="79">
        <v>290</v>
      </c>
      <c r="B159" s="79">
        <v>123</v>
      </c>
      <c r="C159" s="79" t="s">
        <v>187</v>
      </c>
      <c r="D159" s="117">
        <v>802000</v>
      </c>
      <c r="E159" s="117">
        <v>353125.17</v>
      </c>
      <c r="F159" s="117">
        <v>200000</v>
      </c>
      <c r="G159" s="117">
        <v>13298.37</v>
      </c>
      <c r="H159" s="117">
        <f>TECHNICAL!H99</f>
        <v>100000</v>
      </c>
      <c r="I159" s="235">
        <f>TECHNICAL!I99</f>
        <v>13298.37</v>
      </c>
      <c r="J159" s="84">
        <f>TECHNICAL!J99</f>
        <v>150000</v>
      </c>
      <c r="K159" s="165">
        <f>+E159/8*12</f>
        <v>529687.755</v>
      </c>
    </row>
    <row r="160" spans="1:12" s="35" customFormat="1" ht="409.6">
      <c r="A160" s="79">
        <v>290</v>
      </c>
      <c r="B160" s="79">
        <v>135</v>
      </c>
      <c r="C160" s="79" t="s">
        <v>189</v>
      </c>
      <c r="D160" s="117">
        <v>2000000</v>
      </c>
      <c r="E160" s="117">
        <v>1816928.49</v>
      </c>
      <c r="F160" s="117">
        <v>2700000</v>
      </c>
      <c r="G160" s="117">
        <v>6919153.3899999997</v>
      </c>
      <c r="H160" s="117">
        <f>TECHNICAL!H100</f>
        <v>2700000</v>
      </c>
      <c r="I160" s="235">
        <f>TECHNICAL!I100</f>
        <v>10821365.199999999</v>
      </c>
      <c r="J160" s="84">
        <f>TECHNICAL!J100</f>
        <v>0</v>
      </c>
      <c r="K160" s="165">
        <f t="shared" ref="K160:K167" si="22">+E160/8*12</f>
        <v>2725392.7349999999</v>
      </c>
    </row>
    <row r="161" spans="1:12" s="35" customFormat="1" ht="409.6">
      <c r="A161" s="79">
        <v>290</v>
      </c>
      <c r="B161" s="79">
        <v>175</v>
      </c>
      <c r="C161" s="79" t="s">
        <v>127</v>
      </c>
      <c r="D161" s="117">
        <v>66109.75</v>
      </c>
      <c r="E161" s="117">
        <v>17551.689999999999</v>
      </c>
      <c r="F161" s="117">
        <v>30000</v>
      </c>
      <c r="G161" s="117">
        <v>23528.75</v>
      </c>
      <c r="H161" s="117">
        <f>TECHNICAL!H101</f>
        <v>50000</v>
      </c>
      <c r="I161" s="235">
        <f>TECHNICAL!I101</f>
        <v>24122</v>
      </c>
      <c r="J161" s="84">
        <f>TECHNICAL!J101</f>
        <v>50000</v>
      </c>
      <c r="K161" s="165">
        <f t="shared" si="22"/>
        <v>26327.534999999996</v>
      </c>
    </row>
    <row r="162" spans="1:12" s="35" customFormat="1" ht="409.6">
      <c r="A162" s="79">
        <v>290</v>
      </c>
      <c r="B162" s="79">
        <v>193</v>
      </c>
      <c r="C162" s="79" t="s">
        <v>255</v>
      </c>
      <c r="D162" s="117">
        <v>158000</v>
      </c>
      <c r="E162" s="117">
        <v>10000</v>
      </c>
      <c r="F162" s="117">
        <v>500000</v>
      </c>
      <c r="G162" s="117">
        <v>0</v>
      </c>
      <c r="H162" s="117">
        <f>TECHNICAL!H102</f>
        <v>800000</v>
      </c>
      <c r="I162" s="235">
        <f>TECHNICAL!I102</f>
        <v>0</v>
      </c>
      <c r="J162" s="84">
        <f>TECHNICAL!J102</f>
        <v>0</v>
      </c>
      <c r="K162" s="165">
        <f t="shared" si="22"/>
        <v>15000</v>
      </c>
    </row>
    <row r="163" spans="1:12" s="35" customFormat="1" ht="409.6">
      <c r="A163" s="79">
        <v>290</v>
      </c>
      <c r="B163" s="79">
        <v>195</v>
      </c>
      <c r="C163" s="79" t="s">
        <v>38</v>
      </c>
      <c r="D163" s="117">
        <v>80000</v>
      </c>
      <c r="E163" s="117">
        <v>24216.17</v>
      </c>
      <c r="F163" s="117">
        <v>40000</v>
      </c>
      <c r="G163" s="117">
        <v>77391.66</v>
      </c>
      <c r="H163" s="117">
        <f>TECHNICAL!H103</f>
        <v>140000</v>
      </c>
      <c r="I163" s="235">
        <f>TECHNICAL!I103</f>
        <v>80672.429999999993</v>
      </c>
      <c r="J163" s="84">
        <f>TECHNICAL!J103</f>
        <v>50000</v>
      </c>
      <c r="K163" s="165">
        <f t="shared" si="22"/>
        <v>36324.254999999997</v>
      </c>
    </row>
    <row r="164" spans="1:12" s="35" customFormat="1" ht="409.6">
      <c r="A164" s="79">
        <v>290</v>
      </c>
      <c r="B164" s="79">
        <v>204</v>
      </c>
      <c r="C164" s="79" t="s">
        <v>42</v>
      </c>
      <c r="D164" s="117">
        <v>7000</v>
      </c>
      <c r="E164" s="117">
        <v>5505.56</v>
      </c>
      <c r="F164" s="117">
        <v>8000</v>
      </c>
      <c r="G164" s="117">
        <v>36005.879999999997</v>
      </c>
      <c r="H164" s="117">
        <f>TECHNICAL!H104</f>
        <v>68000</v>
      </c>
      <c r="I164" s="235">
        <f>TECHNICAL!I104</f>
        <v>41015.85</v>
      </c>
      <c r="J164" s="84">
        <f>TECHNICAL!J104</f>
        <v>60000</v>
      </c>
      <c r="K164" s="165">
        <f t="shared" si="22"/>
        <v>8258.34</v>
      </c>
    </row>
    <row r="165" spans="1:12" s="35" customFormat="1" ht="409.6">
      <c r="A165" s="79">
        <v>290</v>
      </c>
      <c r="B165" s="79">
        <v>208</v>
      </c>
      <c r="C165" s="79" t="s">
        <v>544</v>
      </c>
      <c r="D165" s="117">
        <v>0</v>
      </c>
      <c r="E165" s="117">
        <v>180</v>
      </c>
      <c r="F165" s="117">
        <v>0</v>
      </c>
      <c r="G165" s="117">
        <v>0</v>
      </c>
      <c r="H165" s="117">
        <f>TECHNICAL!H105</f>
        <v>0</v>
      </c>
      <c r="I165" s="235">
        <f>TECHNICAL!I105</f>
        <v>0</v>
      </c>
      <c r="J165" s="84">
        <f>TECHNICAL!J105</f>
        <v>0</v>
      </c>
      <c r="K165" s="165">
        <f t="shared" si="22"/>
        <v>270</v>
      </c>
    </row>
    <row r="166" spans="1:12" s="35" customFormat="1" ht="409.6">
      <c r="A166" s="79">
        <v>290</v>
      </c>
      <c r="B166" s="79">
        <v>243</v>
      </c>
      <c r="C166" s="79" t="s">
        <v>254</v>
      </c>
      <c r="D166" s="117">
        <v>4500</v>
      </c>
      <c r="E166" s="117">
        <v>2507.5</v>
      </c>
      <c r="F166" s="117">
        <v>4500</v>
      </c>
      <c r="G166" s="117">
        <v>0</v>
      </c>
      <c r="H166" s="117">
        <f>TECHNICAL!H106</f>
        <v>0</v>
      </c>
      <c r="I166" s="235">
        <f>TECHNICAL!I106</f>
        <v>0</v>
      </c>
      <c r="J166" s="84">
        <f>TECHNICAL!J106</f>
        <v>5000</v>
      </c>
      <c r="K166" s="165">
        <f t="shared" si="22"/>
        <v>3761.25</v>
      </c>
    </row>
    <row r="167" spans="1:12" s="35" customFormat="1" ht="409.6">
      <c r="A167" s="79">
        <v>290</v>
      </c>
      <c r="B167" s="79">
        <v>252</v>
      </c>
      <c r="C167" s="79" t="s">
        <v>546</v>
      </c>
      <c r="D167" s="117">
        <v>658000</v>
      </c>
      <c r="E167" s="117">
        <v>455286.9</v>
      </c>
      <c r="F167" s="117">
        <v>682930</v>
      </c>
      <c r="G167" s="117">
        <v>326919.09999999998</v>
      </c>
      <c r="H167" s="117">
        <f>TECHNICAL!H107</f>
        <v>682930</v>
      </c>
      <c r="I167" s="235">
        <f>TECHNICAL!I107</f>
        <v>342767.1</v>
      </c>
      <c r="J167" s="84">
        <f>TECHNICAL!J107</f>
        <v>622856.78</v>
      </c>
      <c r="K167" s="165">
        <f t="shared" si="22"/>
        <v>682930.35000000009</v>
      </c>
    </row>
    <row r="168" spans="1:12" s="35" customFormat="1" ht="409.6">
      <c r="A168" s="79">
        <v>290</v>
      </c>
      <c r="B168" s="79">
        <v>461</v>
      </c>
      <c r="C168" s="79" t="s">
        <v>484</v>
      </c>
      <c r="D168" s="117">
        <v>250000</v>
      </c>
      <c r="E168" s="117">
        <v>33375.9</v>
      </c>
      <c r="F168" s="117">
        <v>250000</v>
      </c>
      <c r="G168" s="117">
        <v>1600757</v>
      </c>
      <c r="H168" s="117">
        <f>TECHNICAL!H108</f>
        <v>250000</v>
      </c>
      <c r="I168" s="235">
        <f>TECHNICAL!I108</f>
        <v>1600757</v>
      </c>
      <c r="J168" s="84">
        <f>TECHNICAL!J108</f>
        <v>250000</v>
      </c>
      <c r="K168" s="38"/>
    </row>
    <row r="169" spans="1:12" s="35" customFormat="1" ht="409.6">
      <c r="D169" s="118">
        <f t="shared" ref="D169:J169" si="23">SUM(D159:D168)</f>
        <v>4025609.75</v>
      </c>
      <c r="E169" s="118">
        <f t="shared" si="23"/>
        <v>2718677.38</v>
      </c>
      <c r="F169" s="118">
        <f t="shared" si="23"/>
        <v>4415430</v>
      </c>
      <c r="G169" s="118">
        <f t="shared" si="23"/>
        <v>8997054.1499999985</v>
      </c>
      <c r="H169" s="118">
        <f>SUM(H159:H168)</f>
        <v>4790930</v>
      </c>
      <c r="I169" s="236">
        <f t="shared" si="23"/>
        <v>12923997.949999997</v>
      </c>
      <c r="J169" s="74">
        <f t="shared" si="23"/>
        <v>1187856.78</v>
      </c>
      <c r="K169" s="38"/>
      <c r="L169" s="38"/>
    </row>
    <row r="170" spans="1:12" s="71" customFormat="1" ht="409.6">
      <c r="A170" s="71" t="s">
        <v>924</v>
      </c>
      <c r="D170" s="121"/>
      <c r="E170" s="121"/>
      <c r="F170" s="121"/>
      <c r="G170" s="121"/>
      <c r="H170" s="121"/>
      <c r="I170" s="238"/>
      <c r="J170" s="70"/>
      <c r="K170" s="70"/>
    </row>
    <row r="171" spans="1:12" s="35" customFormat="1" ht="409.6">
      <c r="A171" s="79">
        <v>291</v>
      </c>
      <c r="B171" s="79">
        <v>123</v>
      </c>
      <c r="C171" s="79" t="s">
        <v>187</v>
      </c>
      <c r="D171" s="117">
        <v>400000</v>
      </c>
      <c r="E171" s="117">
        <v>308164.64</v>
      </c>
      <c r="F171" s="117">
        <v>263000</v>
      </c>
      <c r="G171" s="117">
        <v>10134.36</v>
      </c>
      <c r="H171" s="117">
        <f>TECHNICAL!H165</f>
        <v>100000</v>
      </c>
      <c r="I171" s="235">
        <f>TECHNICAL!I165</f>
        <v>10134.36</v>
      </c>
      <c r="J171" s="84">
        <f>TECHNICAL!J165</f>
        <v>100000</v>
      </c>
      <c r="K171" s="165">
        <f t="shared" ref="K171:K179" si="24">+E171/8*12</f>
        <v>462246.96</v>
      </c>
    </row>
    <row r="172" spans="1:12" s="35" customFormat="1" ht="409.6">
      <c r="A172" s="79">
        <v>291</v>
      </c>
      <c r="B172" s="79">
        <v>127</v>
      </c>
      <c r="C172" s="79" t="s">
        <v>507</v>
      </c>
      <c r="D172" s="117">
        <v>1000</v>
      </c>
      <c r="E172" s="117">
        <v>82.98</v>
      </c>
      <c r="F172" s="117">
        <v>400000</v>
      </c>
      <c r="G172" s="117">
        <v>41.49</v>
      </c>
      <c r="H172" s="117">
        <f>TECHNICAL!H166</f>
        <v>200000</v>
      </c>
      <c r="I172" s="235">
        <f>TECHNICAL!I166</f>
        <v>41.49</v>
      </c>
      <c r="J172" s="84">
        <f>TECHNICAL!J166</f>
        <v>200000</v>
      </c>
      <c r="K172" s="165">
        <f t="shared" si="24"/>
        <v>124.47</v>
      </c>
    </row>
    <row r="173" spans="1:12" s="35" customFormat="1" ht="409.6">
      <c r="A173" s="79">
        <v>291</v>
      </c>
      <c r="B173" s="79">
        <v>135</v>
      </c>
      <c r="C173" s="79" t="s">
        <v>189</v>
      </c>
      <c r="D173" s="117">
        <v>200000</v>
      </c>
      <c r="E173" s="117">
        <v>170386.04</v>
      </c>
      <c r="F173" s="117">
        <v>300000</v>
      </c>
      <c r="G173" s="117">
        <v>167135.62</v>
      </c>
      <c r="H173" s="117">
        <f>TECHNICAL!H167</f>
        <v>300000</v>
      </c>
      <c r="I173" s="235">
        <f>TECHNICAL!I167</f>
        <v>200880.57</v>
      </c>
      <c r="J173" s="84">
        <f>TECHNICAL!J167</f>
        <v>3000000</v>
      </c>
      <c r="K173" s="165">
        <f t="shared" si="24"/>
        <v>255579.06</v>
      </c>
    </row>
    <row r="174" spans="1:12" s="35" customFormat="1" ht="409.6">
      <c r="A174" s="79">
        <v>291</v>
      </c>
      <c r="B174" s="79">
        <v>175</v>
      </c>
      <c r="C174" s="79" t="s">
        <v>195</v>
      </c>
      <c r="D174" s="117">
        <v>5000</v>
      </c>
      <c r="E174" s="117">
        <v>9768.07</v>
      </c>
      <c r="F174" s="117">
        <v>15000</v>
      </c>
      <c r="G174" s="117">
        <v>2036.23</v>
      </c>
      <c r="H174" s="117">
        <f>TECHNICAL!H168</f>
        <v>15000</v>
      </c>
      <c r="I174" s="235">
        <f>TECHNICAL!I168</f>
        <v>13856.3</v>
      </c>
      <c r="J174" s="84">
        <f>TECHNICAL!J168</f>
        <v>20000</v>
      </c>
      <c r="K174" s="165">
        <f t="shared" si="24"/>
        <v>14652.105</v>
      </c>
    </row>
    <row r="175" spans="1:12" s="35" customFormat="1" ht="409.6">
      <c r="A175" s="79">
        <v>291</v>
      </c>
      <c r="B175" s="79">
        <v>195</v>
      </c>
      <c r="C175" s="79" t="s">
        <v>38</v>
      </c>
      <c r="D175" s="117">
        <v>5000</v>
      </c>
      <c r="E175" s="117">
        <v>3523.87</v>
      </c>
      <c r="F175" s="117">
        <v>20000</v>
      </c>
      <c r="G175" s="117">
        <v>12266.18</v>
      </c>
      <c r="H175" s="117">
        <f>TECHNICAL!H169</f>
        <v>33033</v>
      </c>
      <c r="I175" s="235">
        <f>TECHNICAL!I169</f>
        <v>12266.18</v>
      </c>
      <c r="J175" s="84">
        <f>TECHNICAL!J169</f>
        <v>30000</v>
      </c>
      <c r="K175" s="165">
        <f t="shared" si="24"/>
        <v>5285.8050000000003</v>
      </c>
    </row>
    <row r="176" spans="1:12" s="35" customFormat="1" ht="409.6">
      <c r="A176" s="79">
        <v>291</v>
      </c>
      <c r="B176" s="79">
        <v>208</v>
      </c>
      <c r="C176" s="79" t="s">
        <v>1101</v>
      </c>
      <c r="D176" s="117"/>
      <c r="E176" s="117"/>
      <c r="F176" s="117">
        <v>0</v>
      </c>
      <c r="G176" s="117">
        <v>6000</v>
      </c>
      <c r="H176" s="117">
        <f>TECHNICAL!H170</f>
        <v>12000</v>
      </c>
      <c r="I176" s="235">
        <f>TECHNICAL!I170</f>
        <v>6000</v>
      </c>
      <c r="J176" s="84">
        <f>TECHNICAL!J170</f>
        <v>12000</v>
      </c>
      <c r="K176" s="165"/>
    </row>
    <row r="177" spans="1:12" s="35" customFormat="1" ht="409.6">
      <c r="A177" s="79">
        <v>291</v>
      </c>
      <c r="B177" s="79">
        <v>262</v>
      </c>
      <c r="C177" s="79" t="s">
        <v>212</v>
      </c>
      <c r="D177" s="117">
        <v>159000</v>
      </c>
      <c r="E177" s="117">
        <v>1017.72</v>
      </c>
      <c r="F177" s="117">
        <v>0</v>
      </c>
      <c r="G177" s="117">
        <v>1109.82</v>
      </c>
      <c r="H177" s="117">
        <f>TECHNICAL!H171</f>
        <v>0</v>
      </c>
      <c r="I177" s="235">
        <f>TECHNICAL!I171</f>
        <v>1109.82</v>
      </c>
      <c r="J177" s="84">
        <f>TECHNICAL!J171</f>
        <v>0</v>
      </c>
      <c r="K177" s="165">
        <f t="shared" si="24"/>
        <v>1526.58</v>
      </c>
    </row>
    <row r="178" spans="1:12" s="35" customFormat="1" ht="409.6">
      <c r="A178" s="79">
        <v>291</v>
      </c>
      <c r="B178" s="79">
        <v>294</v>
      </c>
      <c r="C178" s="79" t="s">
        <v>601</v>
      </c>
      <c r="D178" s="117">
        <v>570000</v>
      </c>
      <c r="E178" s="117">
        <v>237170</v>
      </c>
      <c r="F178" s="117">
        <v>500000</v>
      </c>
      <c r="G178" s="117">
        <v>267728</v>
      </c>
      <c r="H178" s="117">
        <f>TECHNICAL!H172</f>
        <v>500000</v>
      </c>
      <c r="I178" s="235">
        <f>TECHNICAL!I172</f>
        <v>267728</v>
      </c>
      <c r="J178" s="84">
        <f>TECHNICAL!J172</f>
        <v>500000</v>
      </c>
      <c r="K178" s="165">
        <f t="shared" si="24"/>
        <v>355755</v>
      </c>
    </row>
    <row r="179" spans="1:12" s="35" customFormat="1" ht="409.6">
      <c r="A179" s="79">
        <v>291</v>
      </c>
      <c r="B179" s="79">
        <v>461</v>
      </c>
      <c r="C179" s="79" t="s">
        <v>484</v>
      </c>
      <c r="D179" s="117">
        <v>600000</v>
      </c>
      <c r="E179" s="117">
        <v>183681.54</v>
      </c>
      <c r="F179" s="117">
        <v>800000</v>
      </c>
      <c r="G179" s="117">
        <v>231000</v>
      </c>
      <c r="H179" s="117">
        <f>TECHNICAL!H173</f>
        <v>800000</v>
      </c>
      <c r="I179" s="235">
        <f>TECHNICAL!I173</f>
        <v>231000</v>
      </c>
      <c r="J179" s="84">
        <f>TECHNICAL!J173</f>
        <v>400000</v>
      </c>
      <c r="K179" s="165">
        <f t="shared" si="24"/>
        <v>275522.31</v>
      </c>
    </row>
    <row r="180" spans="1:12" s="35" customFormat="1" ht="409.6">
      <c r="D180" s="118">
        <f t="shared" ref="D180:J180" si="25">SUM(D171:D179)</f>
        <v>1940000</v>
      </c>
      <c r="E180" s="118">
        <f t="shared" si="25"/>
        <v>913794.8600000001</v>
      </c>
      <c r="F180" s="118">
        <f t="shared" si="25"/>
        <v>2298000</v>
      </c>
      <c r="G180" s="118">
        <f t="shared" si="25"/>
        <v>697451.7</v>
      </c>
      <c r="H180" s="118">
        <f>SUM(H171:H179)</f>
        <v>1960033</v>
      </c>
      <c r="I180" s="236">
        <f t="shared" si="25"/>
        <v>743016.72</v>
      </c>
      <c r="J180" s="74">
        <f t="shared" si="25"/>
        <v>4262000</v>
      </c>
      <c r="K180" s="38"/>
      <c r="L180" s="38"/>
    </row>
    <row r="181" spans="1:12" s="71" customFormat="1" ht="409.6">
      <c r="A181" s="71" t="s">
        <v>924</v>
      </c>
      <c r="D181" s="121"/>
      <c r="E181" s="121"/>
      <c r="F181" s="121"/>
      <c r="G181" s="121"/>
      <c r="H181" s="121"/>
      <c r="I181" s="238"/>
      <c r="J181" s="70"/>
      <c r="K181" s="70"/>
    </row>
    <row r="182" spans="1:12" s="35" customFormat="1" ht="409.6">
      <c r="A182" s="79">
        <v>293</v>
      </c>
      <c r="B182" s="79">
        <v>123</v>
      </c>
      <c r="C182" s="79" t="s">
        <v>187</v>
      </c>
      <c r="D182" s="117">
        <v>350000</v>
      </c>
      <c r="E182" s="117">
        <v>304865.84000000003</v>
      </c>
      <c r="F182" s="117">
        <v>200000</v>
      </c>
      <c r="G182" s="117">
        <v>8989.74</v>
      </c>
      <c r="H182" s="117">
        <f>TECHNICAL!H233</f>
        <v>100000</v>
      </c>
      <c r="I182" s="235">
        <f>TECHNICAL!I233</f>
        <v>8989.74</v>
      </c>
      <c r="J182" s="84">
        <f>TECHNICAL!J233</f>
        <v>20000</v>
      </c>
      <c r="K182" s="165">
        <f>+E182/8*12</f>
        <v>457298.76</v>
      </c>
    </row>
    <row r="183" spans="1:12" s="35" customFormat="1" ht="409.6">
      <c r="A183" s="79">
        <v>293</v>
      </c>
      <c r="B183" s="79">
        <v>127</v>
      </c>
      <c r="C183" s="79" t="s">
        <v>507</v>
      </c>
      <c r="D183" s="117">
        <v>3000000</v>
      </c>
      <c r="E183" s="117">
        <v>1101922</v>
      </c>
      <c r="F183" s="117">
        <v>1200000</v>
      </c>
      <c r="G183" s="117">
        <v>534677.19999999995</v>
      </c>
      <c r="H183" s="117">
        <f>TECHNICAL!H234</f>
        <v>1200000</v>
      </c>
      <c r="I183" s="235">
        <f>TECHNICAL!I234</f>
        <v>534677.19999999995</v>
      </c>
      <c r="J183" s="84">
        <f>TECHNICAL!J234</f>
        <v>950000</v>
      </c>
      <c r="K183" s="165">
        <f t="shared" ref="K183:K196" si="26">+E183/8*12</f>
        <v>1652883</v>
      </c>
      <c r="L183" s="38"/>
    </row>
    <row r="184" spans="1:12" s="35" customFormat="1" ht="409.6">
      <c r="A184" s="79">
        <v>293</v>
      </c>
      <c r="B184" s="79">
        <v>135</v>
      </c>
      <c r="C184" s="79" t="s">
        <v>189</v>
      </c>
      <c r="D184" s="117">
        <v>5500000</v>
      </c>
      <c r="E184" s="117">
        <v>4677949.45</v>
      </c>
      <c r="F184" s="117">
        <v>4600000</v>
      </c>
      <c r="G184" s="117">
        <v>1806431.96</v>
      </c>
      <c r="H184" s="117">
        <f>TECHNICAL!H235</f>
        <v>4600000</v>
      </c>
      <c r="I184" s="235">
        <f>TECHNICAL!I235</f>
        <v>1860637.45</v>
      </c>
      <c r="J184" s="84">
        <f>TECHNICAL!J235</f>
        <v>5031879.34</v>
      </c>
      <c r="K184" s="165">
        <f t="shared" si="26"/>
        <v>7016924.1750000007</v>
      </c>
    </row>
    <row r="185" spans="1:12" s="35" customFormat="1" ht="409.6">
      <c r="A185" s="79">
        <v>293</v>
      </c>
      <c r="B185" s="79">
        <v>175</v>
      </c>
      <c r="C185" s="79" t="s">
        <v>195</v>
      </c>
      <c r="D185" s="117">
        <v>512000</v>
      </c>
      <c r="E185" s="117">
        <v>125249.48</v>
      </c>
      <c r="F185" s="117">
        <v>200000</v>
      </c>
      <c r="G185" s="117">
        <v>220640.16</v>
      </c>
      <c r="H185" s="117">
        <f>TECHNICAL!H236</f>
        <v>300000</v>
      </c>
      <c r="I185" s="235">
        <f>TECHNICAL!I236</f>
        <v>227832.15</v>
      </c>
      <c r="J185" s="84">
        <f>TECHNICAL!J236</f>
        <v>300000</v>
      </c>
      <c r="K185" s="165">
        <f t="shared" si="26"/>
        <v>187874.22</v>
      </c>
    </row>
    <row r="186" spans="1:12" s="35" customFormat="1" ht="409.6">
      <c r="A186" s="79">
        <v>293</v>
      </c>
      <c r="B186" s="79">
        <v>183</v>
      </c>
      <c r="C186" s="79" t="s">
        <v>130</v>
      </c>
      <c r="D186" s="117"/>
      <c r="E186" s="117"/>
      <c r="F186" s="117">
        <v>0</v>
      </c>
      <c r="G186" s="117">
        <v>24600</v>
      </c>
      <c r="H186" s="117">
        <f>TECHNICAL!H237</f>
        <v>0</v>
      </c>
      <c r="I186" s="235">
        <f>TECHNICAL!I237</f>
        <v>24600</v>
      </c>
      <c r="J186" s="84">
        <f>TECHNICAL!J237</f>
        <v>0</v>
      </c>
      <c r="K186" s="165"/>
    </row>
    <row r="187" spans="1:12" s="35" customFormat="1" ht="409.6">
      <c r="A187" s="79">
        <v>293</v>
      </c>
      <c r="B187" s="79">
        <v>193</v>
      </c>
      <c r="C187" s="79" t="s">
        <v>36</v>
      </c>
      <c r="D187" s="117">
        <v>500000</v>
      </c>
      <c r="E187" s="117">
        <v>127945.06</v>
      </c>
      <c r="F187" s="117">
        <v>800000</v>
      </c>
      <c r="G187" s="117">
        <v>209182.96</v>
      </c>
      <c r="H187" s="117">
        <f>TECHNICAL!H238</f>
        <v>800000</v>
      </c>
      <c r="I187" s="235">
        <f>TECHNICAL!I238</f>
        <v>209182.96</v>
      </c>
      <c r="J187" s="84">
        <f>TECHNICAL!J238</f>
        <v>400000</v>
      </c>
      <c r="K187" s="165">
        <f t="shared" si="26"/>
        <v>191917.59</v>
      </c>
    </row>
    <row r="188" spans="1:12" s="35" customFormat="1" ht="409.6">
      <c r="A188" s="79">
        <v>293</v>
      </c>
      <c r="B188" s="79">
        <v>195</v>
      </c>
      <c r="C188" s="79" t="s">
        <v>38</v>
      </c>
      <c r="D188" s="117">
        <v>58000</v>
      </c>
      <c r="E188" s="117">
        <v>43037.27</v>
      </c>
      <c r="F188" s="117">
        <v>58000</v>
      </c>
      <c r="G188" s="117">
        <v>51359.11</v>
      </c>
      <c r="H188" s="117">
        <f>TECHNICAL!H239</f>
        <v>100000</v>
      </c>
      <c r="I188" s="235">
        <f>TECHNICAL!I239</f>
        <v>56831.78</v>
      </c>
      <c r="J188" s="84">
        <f>TECHNICAL!J239</f>
        <v>100000</v>
      </c>
      <c r="K188" s="165">
        <f t="shared" si="26"/>
        <v>64555.904999999999</v>
      </c>
    </row>
    <row r="189" spans="1:12" s="35" customFormat="1" ht="409.6">
      <c r="A189" s="79">
        <v>293</v>
      </c>
      <c r="B189" s="79">
        <v>200</v>
      </c>
      <c r="C189" s="79" t="s">
        <v>635</v>
      </c>
      <c r="D189" s="117">
        <v>60000</v>
      </c>
      <c r="E189" s="117">
        <v>29237.55</v>
      </c>
      <c r="F189" s="117">
        <v>0</v>
      </c>
      <c r="G189" s="117">
        <v>0</v>
      </c>
      <c r="H189" s="117">
        <f>TECHNICAL!H240</f>
        <v>0</v>
      </c>
      <c r="I189" s="235">
        <f>TECHNICAL!I240</f>
        <v>0</v>
      </c>
      <c r="J189" s="84">
        <f>TECHNICAL!J240</f>
        <v>0</v>
      </c>
      <c r="K189" s="165">
        <f t="shared" si="26"/>
        <v>43856.324999999997</v>
      </c>
    </row>
    <row r="190" spans="1:12" s="35" customFormat="1" ht="409.6">
      <c r="A190" s="79">
        <v>293</v>
      </c>
      <c r="B190" s="79">
        <v>204</v>
      </c>
      <c r="C190" s="79" t="s">
        <v>637</v>
      </c>
      <c r="D190" s="117">
        <v>7000</v>
      </c>
      <c r="E190" s="117">
        <v>3924.89</v>
      </c>
      <c r="F190" s="117">
        <v>5900</v>
      </c>
      <c r="G190" s="117">
        <v>6126.02</v>
      </c>
      <c r="H190" s="117">
        <f>TECHNICAL!H241</f>
        <v>12000</v>
      </c>
      <c r="I190" s="235">
        <f>TECHNICAL!I241</f>
        <v>6126.02</v>
      </c>
      <c r="J190" s="84">
        <f>TECHNICAL!J241</f>
        <v>10000</v>
      </c>
      <c r="K190" s="165">
        <f t="shared" si="26"/>
        <v>5887.335</v>
      </c>
    </row>
    <row r="191" spans="1:12" s="35" customFormat="1" ht="409.6">
      <c r="A191" s="79">
        <v>293</v>
      </c>
      <c r="B191" s="79">
        <v>208</v>
      </c>
      <c r="C191" s="79" t="s">
        <v>207</v>
      </c>
      <c r="D191" s="117">
        <v>0</v>
      </c>
      <c r="E191" s="117">
        <v>146.82</v>
      </c>
      <c r="F191" s="117">
        <v>0</v>
      </c>
      <c r="G191" s="117">
        <v>56833.48</v>
      </c>
      <c r="H191" s="117">
        <f>TECHNICAL!H242</f>
        <v>0</v>
      </c>
      <c r="I191" s="235">
        <f>TECHNICAL!I242</f>
        <v>56833.48</v>
      </c>
      <c r="J191" s="84">
        <f>TECHNICAL!J242</f>
        <v>60000</v>
      </c>
      <c r="K191" s="165">
        <f t="shared" si="26"/>
        <v>220.23</v>
      </c>
    </row>
    <row r="192" spans="1:12" s="35" customFormat="1" ht="409.6">
      <c r="A192" s="79">
        <v>293</v>
      </c>
      <c r="B192" s="79">
        <v>243</v>
      </c>
      <c r="C192" s="79" t="s">
        <v>254</v>
      </c>
      <c r="D192" s="117"/>
      <c r="E192" s="117"/>
      <c r="F192" s="117">
        <v>0</v>
      </c>
      <c r="G192" s="117">
        <v>209.94</v>
      </c>
      <c r="H192" s="117">
        <f>TECHNICAL!H243</f>
        <v>0</v>
      </c>
      <c r="I192" s="235">
        <f>TECHNICAL!I243</f>
        <v>209.94</v>
      </c>
      <c r="J192" s="84">
        <f>TECHNICAL!J243</f>
        <v>10000</v>
      </c>
      <c r="K192" s="165"/>
    </row>
    <row r="193" spans="1:12" s="35" customFormat="1" ht="409.6">
      <c r="A193" s="79">
        <v>293</v>
      </c>
      <c r="B193" s="79">
        <v>255</v>
      </c>
      <c r="C193" s="79" t="s">
        <v>639</v>
      </c>
      <c r="D193" s="117">
        <v>200000</v>
      </c>
      <c r="E193" s="117">
        <v>1476.05</v>
      </c>
      <c r="F193" s="117">
        <v>500000</v>
      </c>
      <c r="G193" s="117">
        <v>8.77</v>
      </c>
      <c r="H193" s="117">
        <f>TECHNICAL!H244</f>
        <v>500000</v>
      </c>
      <c r="I193" s="235">
        <f>TECHNICAL!I244</f>
        <v>8.77</v>
      </c>
      <c r="J193" s="84">
        <f>TECHNICAL!J244</f>
        <v>200000</v>
      </c>
      <c r="K193" s="165">
        <f t="shared" si="26"/>
        <v>2214.0749999999998</v>
      </c>
    </row>
    <row r="194" spans="1:12" s="35" customFormat="1" ht="409.6">
      <c r="A194" s="79">
        <v>293</v>
      </c>
      <c r="B194" s="79">
        <v>262</v>
      </c>
      <c r="C194" s="79" t="s">
        <v>1063</v>
      </c>
      <c r="D194" s="117"/>
      <c r="E194" s="117"/>
      <c r="F194" s="117">
        <v>0</v>
      </c>
      <c r="G194" s="117">
        <v>760.63</v>
      </c>
      <c r="H194" s="117">
        <f>TECHNICAL!H245</f>
        <v>0</v>
      </c>
      <c r="I194" s="235">
        <f>TECHNICAL!I245</f>
        <v>760.63</v>
      </c>
      <c r="J194" s="84">
        <f>TECHNICAL!J245</f>
        <v>0</v>
      </c>
      <c r="K194" s="165"/>
    </row>
    <row r="195" spans="1:12" s="35" customFormat="1" ht="409.6">
      <c r="A195" s="79">
        <v>293</v>
      </c>
      <c r="B195" s="79">
        <v>265</v>
      </c>
      <c r="C195" s="79" t="s">
        <v>645</v>
      </c>
      <c r="D195" s="117">
        <v>1084000</v>
      </c>
      <c r="E195" s="117">
        <v>1025855.36</v>
      </c>
      <c r="F195" s="117">
        <v>0</v>
      </c>
      <c r="G195" s="117">
        <v>0</v>
      </c>
      <c r="H195" s="117">
        <f>TECHNICAL!H246</f>
        <v>0</v>
      </c>
      <c r="I195" s="235">
        <f>TECHNICAL!I246</f>
        <v>0</v>
      </c>
      <c r="J195" s="84">
        <f>TECHNICAL!J246</f>
        <v>250000</v>
      </c>
      <c r="K195" s="165">
        <f t="shared" si="26"/>
        <v>1538783.04</v>
      </c>
    </row>
    <row r="196" spans="1:12" s="35" customFormat="1" ht="409.6">
      <c r="A196" s="79">
        <v>293</v>
      </c>
      <c r="B196" s="79">
        <v>272</v>
      </c>
      <c r="C196" s="79" t="s">
        <v>647</v>
      </c>
      <c r="D196" s="117">
        <v>0</v>
      </c>
      <c r="E196" s="117">
        <v>79000</v>
      </c>
      <c r="F196" s="117">
        <v>0</v>
      </c>
      <c r="G196" s="117">
        <v>0</v>
      </c>
      <c r="H196" s="117">
        <f>TECHNICAL!H247</f>
        <v>0</v>
      </c>
      <c r="I196" s="235">
        <f>TECHNICAL!I247</f>
        <v>0</v>
      </c>
      <c r="J196" s="84">
        <f>TECHNICAL!J247</f>
        <v>0</v>
      </c>
      <c r="K196" s="165">
        <f t="shared" si="26"/>
        <v>118500</v>
      </c>
    </row>
    <row r="197" spans="1:12" s="35" customFormat="1" ht="409.6">
      <c r="A197" s="79">
        <v>293</v>
      </c>
      <c r="B197" s="79">
        <v>461</v>
      </c>
      <c r="C197" s="79" t="s">
        <v>484</v>
      </c>
      <c r="D197" s="117">
        <v>1000000</v>
      </c>
      <c r="E197" s="117">
        <v>328743.34000000003</v>
      </c>
      <c r="F197" s="117">
        <v>300000</v>
      </c>
      <c r="G197" s="117">
        <v>120202.5</v>
      </c>
      <c r="H197" s="117">
        <f>TECHNICAL!H248</f>
        <v>300000</v>
      </c>
      <c r="I197" s="235">
        <f>TECHNICAL!I248</f>
        <v>120202.5</v>
      </c>
      <c r="J197" s="84">
        <f>TECHNICAL!J248</f>
        <v>300000</v>
      </c>
      <c r="K197" s="38"/>
    </row>
    <row r="198" spans="1:12" s="35" customFormat="1" ht="409.6">
      <c r="D198" s="118">
        <f t="shared" ref="D198:J198" si="27">SUM(D182:D197)</f>
        <v>12271000</v>
      </c>
      <c r="E198" s="118">
        <f t="shared" si="27"/>
        <v>7849353.1099999994</v>
      </c>
      <c r="F198" s="118">
        <f t="shared" si="27"/>
        <v>7863900</v>
      </c>
      <c r="G198" s="118">
        <f t="shared" si="27"/>
        <v>3040022.4699999997</v>
      </c>
      <c r="H198" s="118">
        <f>SUM(H182:H197)</f>
        <v>7912000</v>
      </c>
      <c r="I198" s="236">
        <f t="shared" si="27"/>
        <v>3106892.6199999992</v>
      </c>
      <c r="J198" s="74">
        <f t="shared" si="27"/>
        <v>7631879.3399999999</v>
      </c>
      <c r="K198" s="38"/>
      <c r="L198" s="38"/>
    </row>
    <row r="199" spans="1:12" ht="409.6">
      <c r="G199" s="164"/>
      <c r="H199" s="164"/>
      <c r="I199" s="243"/>
    </row>
    <row r="200" spans="1:12" s="1" customFormat="1" ht="15.75" thickBot="1">
      <c r="C200" s="1" t="s">
        <v>852</v>
      </c>
      <c r="D200" s="181">
        <f t="shared" ref="D200:J200" si="28">D9+D22+D29+D38+D46+D54+D75+D86+D93+D104+D117+D137+D147+D157+D169+D180+D198</f>
        <v>55607942.469999999</v>
      </c>
      <c r="E200" s="181">
        <f t="shared" si="28"/>
        <v>26988387.91</v>
      </c>
      <c r="F200" s="181">
        <f t="shared" si="28"/>
        <v>38977576.217100002</v>
      </c>
      <c r="G200" s="181">
        <f t="shared" si="28"/>
        <v>31745904.040000003</v>
      </c>
      <c r="H200" s="181">
        <f t="shared" si="28"/>
        <v>43784246</v>
      </c>
      <c r="I200" s="268">
        <f t="shared" si="28"/>
        <v>32604898.149999999</v>
      </c>
      <c r="J200" s="63">
        <f t="shared" si="28"/>
        <v>47467251.115714282</v>
      </c>
    </row>
    <row r="201" spans="1:12" ht="15.75" thickTop="1">
      <c r="G201" s="164"/>
      <c r="H201" s="164"/>
      <c r="I201" s="243"/>
    </row>
    <row r="202" spans="1:12" ht="409.6">
      <c r="G202" s="164"/>
      <c r="H202" s="164"/>
      <c r="I202" s="243"/>
    </row>
    <row r="203" spans="1:12" ht="409.6">
      <c r="G203" s="164"/>
      <c r="H203" s="164"/>
      <c r="I203" s="243"/>
    </row>
    <row r="204" spans="1:12" ht="409.6">
      <c r="G204" s="164"/>
      <c r="H204" s="164"/>
      <c r="I204" s="243"/>
    </row>
    <row r="205" spans="1:12" ht="409.6">
      <c r="G205" s="164"/>
      <c r="H205" s="164"/>
      <c r="I205" s="243"/>
    </row>
    <row r="206" spans="1:12" ht="409.6">
      <c r="G206" s="164"/>
      <c r="H206" s="164"/>
      <c r="I206" s="243"/>
    </row>
    <row r="207" spans="1:12" ht="409.6">
      <c r="G207" s="164"/>
      <c r="H207" s="164"/>
      <c r="I207" s="243"/>
    </row>
    <row r="208" spans="1:12" ht="409.6">
      <c r="G208" s="164"/>
      <c r="H208" s="164"/>
      <c r="I208" s="243"/>
    </row>
    <row r="209" spans="7:9" ht="409.6">
      <c r="G209" s="164"/>
      <c r="H209" s="164"/>
      <c r="I209" s="243"/>
    </row>
    <row r="210" spans="7:9" ht="409.6">
      <c r="G210" s="164"/>
      <c r="H210" s="164"/>
      <c r="I210" s="243"/>
    </row>
    <row r="211" spans="7:9" ht="409.6">
      <c r="G211" s="164"/>
      <c r="H211" s="164"/>
      <c r="I211" s="243"/>
    </row>
    <row r="212" spans="7:9" ht="409.6">
      <c r="G212" s="164"/>
      <c r="H212" s="164"/>
      <c r="I212" s="243"/>
    </row>
    <row r="213" spans="7:9" ht="409.6">
      <c r="G213" s="164"/>
      <c r="H213" s="164"/>
      <c r="I213" s="243"/>
    </row>
    <row r="214" spans="7:9" ht="409.6">
      <c r="G214" s="164"/>
      <c r="H214" s="164"/>
      <c r="I214" s="243"/>
    </row>
    <row r="215" spans="7:9" ht="409.6">
      <c r="H215" s="164"/>
      <c r="I215" s="243"/>
    </row>
    <row r="216" spans="7:9" ht="409.6">
      <c r="H216" s="164"/>
      <c r="I216" s="243"/>
    </row>
    <row r="217" spans="7:9" ht="409.6">
      <c r="H217" s="164"/>
      <c r="I217" s="243"/>
    </row>
    <row r="218" spans="7:9" ht="409.6">
      <c r="H218" s="164"/>
      <c r="I218" s="243"/>
    </row>
    <row r="219" spans="7:9" ht="409.6">
      <c r="H219" s="164"/>
      <c r="I219" s="243"/>
    </row>
    <row r="220" spans="7:9" ht="409.6">
      <c r="H220" s="164"/>
      <c r="I220" s="243"/>
    </row>
    <row r="221" spans="7:9" ht="409.6">
      <c r="H221" s="164"/>
      <c r="I221" s="243"/>
    </row>
    <row r="222" spans="7:9" ht="409.6">
      <c r="H222" s="164"/>
      <c r="I222" s="243"/>
    </row>
    <row r="223" spans="7:9" ht="409.6">
      <c r="H223" s="164"/>
      <c r="I223" s="243"/>
    </row>
    <row r="224" spans="7:9" ht="409.6">
      <c r="H224" s="164"/>
      <c r="I224" s="243"/>
    </row>
    <row r="225" spans="8:9" ht="409.6">
      <c r="H225" s="164"/>
      <c r="I225" s="243"/>
    </row>
    <row r="226" spans="8:9" ht="409.6">
      <c r="H226" s="164"/>
      <c r="I226" s="243"/>
    </row>
    <row r="227" spans="8:9" ht="409.6">
      <c r="H227" s="164"/>
      <c r="I227" s="243"/>
    </row>
    <row r="228" spans="8:9" ht="409.6">
      <c r="H228" s="164"/>
      <c r="I228" s="243"/>
    </row>
    <row r="229" spans="8:9" ht="409.6">
      <c r="H229" s="164"/>
      <c r="I229" s="243"/>
    </row>
    <row r="230" spans="8:9" ht="409.6">
      <c r="H230" s="164"/>
      <c r="I230" s="243"/>
    </row>
    <row r="231" spans="8:9" ht="409.6">
      <c r="H231" s="164"/>
      <c r="I231" s="243"/>
    </row>
    <row r="232" spans="8:9" ht="409.6">
      <c r="H232" s="164"/>
      <c r="I232" s="243"/>
    </row>
    <row r="233" spans="8:9" ht="409.6">
      <c r="H233" s="164"/>
      <c r="I233" s="243"/>
    </row>
    <row r="234" spans="8:9" ht="409.6">
      <c r="H234" s="164"/>
      <c r="I234" s="243"/>
    </row>
    <row r="235" spans="8:9" ht="409.6">
      <c r="H235" s="164"/>
      <c r="I235" s="243"/>
    </row>
    <row r="236" spans="8:9" ht="409.6">
      <c r="H236" s="164"/>
      <c r="I236" s="243"/>
    </row>
    <row r="237" spans="8:9" ht="409.6">
      <c r="H237" s="164"/>
      <c r="I237" s="243"/>
    </row>
    <row r="238" spans="8:9" ht="409.6">
      <c r="H238" s="164"/>
      <c r="I238" s="243"/>
    </row>
  </sheetData>
  <autoFilter ref="C1:C238"/>
  <pageMargins left="0.7" right="0.7" top="0.75" bottom="0.75" header="0.3" footer="0.3"/>
  <pageSetup scale="51" orientation="portrait" r:id="rId1"/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7"/>
  <sheetViews>
    <sheetView topLeftCell="C1" zoomScaleNormal="100" workbookViewId="0">
      <pane ySplit="2" topLeftCell="A294" activePane="bottomLeft" state="frozen"/>
      <selection pane="bottomLeft" activeCell="L297" sqref="L297"/>
    </sheetView>
  </sheetViews>
  <sheetFormatPr defaultRowHeight="15"/>
  <cols>
    <col min="1" max="2" width="9.28515625" bestFit="1" customWidth="1"/>
    <col min="3" max="3" width="35.5703125" bestFit="1" customWidth="1"/>
    <col min="4" max="4" width="23.5703125" style="164" bestFit="1" customWidth="1"/>
    <col min="5" max="5" width="24.140625" style="164" hidden="1" customWidth="1"/>
    <col min="6" max="6" width="20" style="164" bestFit="1" customWidth="1"/>
    <col min="7" max="7" width="23.85546875" style="172" hidden="1" customWidth="1"/>
    <col min="8" max="8" width="26.140625" bestFit="1" customWidth="1"/>
    <col min="9" max="10" width="26" customWidth="1"/>
    <col min="11" max="11" width="14.85546875" hidden="1" customWidth="1"/>
    <col min="12" max="12" width="16.140625" bestFit="1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27"/>
      <c r="L1" s="27"/>
    </row>
    <row r="2" spans="1:13" s="1" customFormat="1">
      <c r="A2" s="173" t="s">
        <v>4</v>
      </c>
      <c r="B2" s="174" t="s">
        <v>5</v>
      </c>
      <c r="C2" s="175" t="s">
        <v>6</v>
      </c>
      <c r="D2" s="176" t="s">
        <v>916</v>
      </c>
      <c r="E2" s="177" t="s">
        <v>920</v>
      </c>
      <c r="F2" s="176" t="s">
        <v>1102</v>
      </c>
      <c r="G2" s="176" t="s">
        <v>1104</v>
      </c>
      <c r="H2" s="176" t="s">
        <v>1103</v>
      </c>
      <c r="I2" s="176" t="s">
        <v>1118</v>
      </c>
      <c r="J2" s="176" t="s">
        <v>1123</v>
      </c>
      <c r="K2" s="44"/>
      <c r="L2" s="44"/>
    </row>
    <row r="3" spans="1:13">
      <c r="A3" s="13">
        <v>244</v>
      </c>
      <c r="B3" s="13">
        <v>109</v>
      </c>
      <c r="C3" s="13" t="s">
        <v>183</v>
      </c>
      <c r="D3" s="104">
        <v>128750</v>
      </c>
      <c r="E3" s="104">
        <v>2183</v>
      </c>
      <c r="F3" s="104">
        <v>40000</v>
      </c>
      <c r="G3" s="104">
        <v>5353</v>
      </c>
      <c r="H3" s="104">
        <v>40000</v>
      </c>
      <c r="I3" s="235">
        <f>'GENERAL EXPENDITURE'!I56</f>
        <v>5323</v>
      </c>
      <c r="J3" s="80">
        <f>'GENERAL EXPENDITURE'!J56</f>
        <v>40000</v>
      </c>
    </row>
    <row r="4" spans="1:13">
      <c r="A4" s="13">
        <v>244</v>
      </c>
      <c r="B4" s="13">
        <v>111</v>
      </c>
      <c r="C4" s="13" t="s">
        <v>185</v>
      </c>
      <c r="D4" s="104">
        <v>250000</v>
      </c>
      <c r="E4" s="104">
        <v>99649.38</v>
      </c>
      <c r="F4" s="104">
        <v>170000</v>
      </c>
      <c r="G4" s="104">
        <v>48461.21</v>
      </c>
      <c r="H4" s="104">
        <v>100000</v>
      </c>
      <c r="I4" s="235">
        <f>'GENERAL EXPENDITURE'!I57</f>
        <v>48461.21</v>
      </c>
      <c r="J4" s="80">
        <f>'GENERAL EXPENDITURE'!J57</f>
        <v>100000</v>
      </c>
    </row>
    <row r="5" spans="1:13" s="42" customFormat="1">
      <c r="D5" s="107">
        <f t="shared" ref="D5:J5" si="0">SUM(D3:D4)</f>
        <v>378750</v>
      </c>
      <c r="E5" s="107">
        <f t="shared" si="0"/>
        <v>101832.38</v>
      </c>
      <c r="F5" s="107">
        <f t="shared" si="0"/>
        <v>210000</v>
      </c>
      <c r="G5" s="107">
        <f t="shared" si="0"/>
        <v>53814.21</v>
      </c>
      <c r="H5" s="107">
        <f t="shared" si="0"/>
        <v>140000</v>
      </c>
      <c r="I5" s="237">
        <f t="shared" si="0"/>
        <v>53784.21</v>
      </c>
      <c r="J5" s="92">
        <f t="shared" si="0"/>
        <v>140000</v>
      </c>
    </row>
    <row r="6" spans="1:13" s="42" customFormat="1">
      <c r="D6" s="106"/>
      <c r="E6" s="106"/>
      <c r="F6" s="107"/>
      <c r="G6" s="107"/>
      <c r="H6" s="107"/>
      <c r="I6" s="237"/>
      <c r="J6" s="55"/>
    </row>
    <row r="7" spans="1:13">
      <c r="A7" s="13">
        <v>220</v>
      </c>
      <c r="B7" s="13">
        <v>178</v>
      </c>
      <c r="C7" s="13" t="s">
        <v>72</v>
      </c>
      <c r="D7" s="104">
        <v>350000</v>
      </c>
      <c r="E7" s="104">
        <v>0</v>
      </c>
      <c r="F7" s="104">
        <v>200000</v>
      </c>
      <c r="G7" s="104">
        <v>0</v>
      </c>
      <c r="H7" s="104">
        <v>200000</v>
      </c>
      <c r="I7" s="235">
        <f>'GENERAL EXPENDITURE'!I13</f>
        <v>0</v>
      </c>
      <c r="J7" s="80">
        <f>'GENERAL EXPENDITURE'!J12</f>
        <v>350000</v>
      </c>
      <c r="K7" s="27">
        <f>+E7/8*12</f>
        <v>0</v>
      </c>
    </row>
    <row r="8" spans="1:13" s="42" customFormat="1">
      <c r="D8" s="107">
        <f t="shared" ref="D8:J8" si="1">D7</f>
        <v>350000</v>
      </c>
      <c r="E8" s="107">
        <f t="shared" si="1"/>
        <v>0</v>
      </c>
      <c r="F8" s="107">
        <f t="shared" si="1"/>
        <v>200000</v>
      </c>
      <c r="G8" s="107">
        <f t="shared" si="1"/>
        <v>0</v>
      </c>
      <c r="H8" s="107">
        <f t="shared" si="1"/>
        <v>200000</v>
      </c>
      <c r="I8" s="237">
        <f t="shared" si="1"/>
        <v>0</v>
      </c>
      <c r="J8" s="92">
        <f t="shared" si="1"/>
        <v>350000</v>
      </c>
      <c r="K8" s="40"/>
    </row>
    <row r="9" spans="1:13" s="42" customFormat="1">
      <c r="D9" s="106"/>
      <c r="E9" s="106"/>
      <c r="F9" s="107"/>
      <c r="G9" s="107"/>
      <c r="H9" s="107"/>
      <c r="I9" s="237"/>
      <c r="J9" s="55"/>
      <c r="K9" s="40"/>
    </row>
    <row r="10" spans="1:13">
      <c r="A10" s="13">
        <v>220</v>
      </c>
      <c r="B10" s="13">
        <v>250</v>
      </c>
      <c r="C10" s="13" t="s">
        <v>81</v>
      </c>
      <c r="D10" s="104">
        <v>150000</v>
      </c>
      <c r="E10" s="104">
        <v>18812.11</v>
      </c>
      <c r="F10" s="104">
        <v>150000</v>
      </c>
      <c r="G10" s="104">
        <v>112289.64</v>
      </c>
      <c r="H10" s="104">
        <v>50000</v>
      </c>
      <c r="I10" s="235">
        <f>'GENERAL EXPENDITURE'!I20</f>
        <v>112289.64</v>
      </c>
      <c r="J10" s="80">
        <f>'GENERAL EXPENDITURE'!J20</f>
        <v>192496.52571428573</v>
      </c>
      <c r="K10" s="27">
        <f>+E10/8*12</f>
        <v>28218.165000000001</v>
      </c>
    </row>
    <row r="11" spans="1:13" s="42" customFormat="1">
      <c r="D11" s="107">
        <f t="shared" ref="D11:J11" si="2">D10</f>
        <v>150000</v>
      </c>
      <c r="E11" s="107">
        <f t="shared" si="2"/>
        <v>18812.11</v>
      </c>
      <c r="F11" s="107">
        <f t="shared" si="2"/>
        <v>150000</v>
      </c>
      <c r="G11" s="107">
        <f t="shared" si="2"/>
        <v>112289.64</v>
      </c>
      <c r="H11" s="107">
        <f t="shared" si="2"/>
        <v>50000</v>
      </c>
      <c r="I11" s="237">
        <f t="shared" si="2"/>
        <v>112289.64</v>
      </c>
      <c r="J11" s="92">
        <f t="shared" si="2"/>
        <v>192496.52571428573</v>
      </c>
      <c r="K11" s="40"/>
    </row>
    <row r="12" spans="1:13" s="42" customFormat="1">
      <c r="D12" s="106"/>
      <c r="E12" s="106"/>
      <c r="F12" s="107"/>
      <c r="G12" s="107"/>
      <c r="H12" s="107"/>
      <c r="I12" s="237"/>
      <c r="J12" s="55"/>
      <c r="K12" s="40"/>
    </row>
    <row r="13" spans="1:13">
      <c r="A13" s="13">
        <v>220</v>
      </c>
      <c r="B13" s="13">
        <v>253</v>
      </c>
      <c r="C13" s="13" t="s">
        <v>82</v>
      </c>
      <c r="D13" s="104">
        <v>3800000</v>
      </c>
      <c r="E13" s="104">
        <v>1202887.78</v>
      </c>
      <c r="F13" s="104">
        <v>4000000</v>
      </c>
      <c r="G13" s="104">
        <v>3445319.22</v>
      </c>
      <c r="H13" s="104">
        <v>7000000</v>
      </c>
      <c r="I13" s="235">
        <f>'GENERAL EXPENDITURE'!I21</f>
        <v>4495378.93</v>
      </c>
      <c r="J13" s="80">
        <f>'GENERAL EXPENDITURE'!J21</f>
        <v>5000000</v>
      </c>
      <c r="K13" s="27">
        <f>+E13/8*12</f>
        <v>1804331.67</v>
      </c>
    </row>
    <row r="14" spans="1:13">
      <c r="A14" s="42"/>
      <c r="B14" s="42"/>
      <c r="C14" s="42"/>
      <c r="D14" s="107">
        <f t="shared" ref="D14:J14" si="3">D13</f>
        <v>3800000</v>
      </c>
      <c r="E14" s="107">
        <f t="shared" si="3"/>
        <v>1202887.78</v>
      </c>
      <c r="F14" s="107">
        <f t="shared" si="3"/>
        <v>4000000</v>
      </c>
      <c r="G14" s="107">
        <f t="shared" si="3"/>
        <v>3445319.22</v>
      </c>
      <c r="H14" s="107">
        <f t="shared" si="3"/>
        <v>7000000</v>
      </c>
      <c r="I14" s="237">
        <f t="shared" si="3"/>
        <v>4495378.93</v>
      </c>
      <c r="J14" s="92">
        <f t="shared" si="3"/>
        <v>5000000</v>
      </c>
      <c r="K14" s="27"/>
    </row>
    <row r="15" spans="1:13">
      <c r="A15" s="42"/>
      <c r="B15" s="42"/>
      <c r="C15" s="42"/>
      <c r="D15" s="106"/>
      <c r="E15" s="106"/>
      <c r="F15" s="107"/>
      <c r="G15" s="107"/>
      <c r="H15" s="107"/>
      <c r="I15" s="237"/>
      <c r="J15" s="92"/>
      <c r="K15" s="27"/>
    </row>
    <row r="16" spans="1:13">
      <c r="A16" s="13">
        <v>227</v>
      </c>
      <c r="B16" s="13">
        <v>196</v>
      </c>
      <c r="C16" s="13" t="s">
        <v>117</v>
      </c>
      <c r="D16" s="104">
        <v>35000</v>
      </c>
      <c r="E16" s="104">
        <v>0</v>
      </c>
      <c r="F16" s="104">
        <v>0</v>
      </c>
      <c r="G16" s="104"/>
      <c r="H16" s="104">
        <v>0</v>
      </c>
      <c r="I16" s="235">
        <f>'GENERAL EXPENDITURE'!I26</f>
        <v>0</v>
      </c>
      <c r="J16" s="80">
        <v>0</v>
      </c>
      <c r="K16" s="146">
        <f>I16/7*12</f>
        <v>0</v>
      </c>
      <c r="L16" s="27"/>
      <c r="M16" s="27"/>
    </row>
    <row r="17" spans="1:12">
      <c r="A17" s="42"/>
      <c r="B17" s="42"/>
      <c r="C17" s="42"/>
      <c r="D17" s="107">
        <f t="shared" ref="D17:J17" si="4">D16</f>
        <v>35000</v>
      </c>
      <c r="E17" s="107">
        <f t="shared" si="4"/>
        <v>0</v>
      </c>
      <c r="F17" s="107">
        <f t="shared" si="4"/>
        <v>0</v>
      </c>
      <c r="G17" s="107">
        <f t="shared" si="4"/>
        <v>0</v>
      </c>
      <c r="H17" s="107">
        <f t="shared" si="4"/>
        <v>0</v>
      </c>
      <c r="I17" s="237">
        <f t="shared" si="4"/>
        <v>0</v>
      </c>
      <c r="J17" s="92">
        <f t="shared" si="4"/>
        <v>0</v>
      </c>
      <c r="K17" s="27"/>
    </row>
    <row r="18" spans="1:12">
      <c r="A18" s="42"/>
      <c r="B18" s="42"/>
      <c r="C18" s="42"/>
      <c r="D18" s="106"/>
      <c r="E18" s="106"/>
      <c r="F18" s="107"/>
      <c r="G18" s="107"/>
      <c r="H18" s="107"/>
      <c r="I18" s="237"/>
      <c r="J18" s="55"/>
      <c r="K18" s="27"/>
    </row>
    <row r="19" spans="1:12" s="35" customFormat="1">
      <c r="A19" s="79">
        <v>274</v>
      </c>
      <c r="B19" s="79">
        <v>121</v>
      </c>
      <c r="C19" s="79" t="s">
        <v>390</v>
      </c>
      <c r="D19" s="104">
        <v>1000</v>
      </c>
      <c r="E19" s="104">
        <v>247.77</v>
      </c>
      <c r="F19" s="104">
        <v>500</v>
      </c>
      <c r="G19" s="104">
        <v>93.1</v>
      </c>
      <c r="H19" s="104">
        <v>500</v>
      </c>
      <c r="I19" s="235">
        <f>'GENERAL EXPENDITURE'!I121</f>
        <v>95.53</v>
      </c>
      <c r="J19" s="98">
        <f>'GENERAL EXPENDITURE'!J120</f>
        <v>580000</v>
      </c>
      <c r="K19" s="38">
        <f>+E19/8*12</f>
        <v>371.65500000000003</v>
      </c>
    </row>
    <row r="20" spans="1:12" s="35" customFormat="1">
      <c r="A20" s="79">
        <v>274</v>
      </c>
      <c r="B20" s="79">
        <v>119</v>
      </c>
      <c r="C20" s="79" t="s">
        <v>388</v>
      </c>
      <c r="D20" s="104">
        <v>550000</v>
      </c>
      <c r="E20" s="104">
        <v>353846.21</v>
      </c>
      <c r="F20" s="104">
        <v>531000</v>
      </c>
      <c r="G20" s="104">
        <v>276943.09000000003</v>
      </c>
      <c r="H20" s="104">
        <v>531000</v>
      </c>
      <c r="I20" s="235">
        <f>'GENERAL EXPENDITURE'!I120</f>
        <v>327979.52000000002</v>
      </c>
      <c r="J20" s="98">
        <f>'GENERAL EXPENDITURE'!J121</f>
        <v>200</v>
      </c>
      <c r="K20" s="38">
        <f>+E20/8*12</f>
        <v>530769.31500000006</v>
      </c>
    </row>
    <row r="21" spans="1:12" s="35" customFormat="1">
      <c r="A21" s="90"/>
      <c r="B21" s="90"/>
      <c r="C21" s="90"/>
      <c r="D21" s="107">
        <f t="shared" ref="D21:J21" si="5">SUM(D19:D20)</f>
        <v>551000</v>
      </c>
      <c r="E21" s="107">
        <f t="shared" si="5"/>
        <v>354093.98000000004</v>
      </c>
      <c r="F21" s="107">
        <f t="shared" si="5"/>
        <v>531500</v>
      </c>
      <c r="G21" s="107">
        <f t="shared" si="5"/>
        <v>277036.19</v>
      </c>
      <c r="H21" s="107">
        <f t="shared" si="5"/>
        <v>531500</v>
      </c>
      <c r="I21" s="237">
        <f t="shared" si="5"/>
        <v>328075.05000000005</v>
      </c>
      <c r="J21" s="92">
        <f t="shared" si="5"/>
        <v>580200</v>
      </c>
      <c r="K21" s="38"/>
    </row>
    <row r="22" spans="1:12" s="35" customFormat="1">
      <c r="A22" s="90"/>
      <c r="B22" s="90"/>
      <c r="C22" s="90"/>
      <c r="D22" s="106"/>
      <c r="E22" s="106"/>
      <c r="F22" s="107"/>
      <c r="G22" s="107"/>
      <c r="H22" s="107"/>
      <c r="I22" s="237"/>
      <c r="J22" s="92"/>
      <c r="K22" s="38"/>
    </row>
    <row r="23" spans="1:12">
      <c r="A23" s="13">
        <v>267</v>
      </c>
      <c r="B23" s="13">
        <v>206</v>
      </c>
      <c r="C23" s="13" t="s">
        <v>322</v>
      </c>
      <c r="D23" s="104">
        <v>45000</v>
      </c>
      <c r="E23" s="104">
        <v>45890</v>
      </c>
      <c r="F23" s="104">
        <v>120000</v>
      </c>
      <c r="G23" s="104">
        <v>94742</v>
      </c>
      <c r="H23" s="104">
        <v>150000</v>
      </c>
      <c r="I23" s="235">
        <f>'GENERAL EXPENDITURE'!I101</f>
        <v>94742</v>
      </c>
      <c r="J23" s="80">
        <f>'GENERAL EXPENDITURE'!J101</f>
        <v>162414.85714285716</v>
      </c>
      <c r="K23" s="27">
        <f>E23/8*12</f>
        <v>68835</v>
      </c>
    </row>
    <row r="24" spans="1:12">
      <c r="A24" s="42"/>
      <c r="B24" s="42"/>
      <c r="C24" s="42"/>
      <c r="D24" s="107">
        <f t="shared" ref="D24:J24" si="6">D23</f>
        <v>45000</v>
      </c>
      <c r="E24" s="107">
        <f t="shared" si="6"/>
        <v>45890</v>
      </c>
      <c r="F24" s="107">
        <f t="shared" si="6"/>
        <v>120000</v>
      </c>
      <c r="G24" s="107">
        <f t="shared" si="6"/>
        <v>94742</v>
      </c>
      <c r="H24" s="107">
        <f t="shared" si="6"/>
        <v>150000</v>
      </c>
      <c r="I24" s="237">
        <f t="shared" si="6"/>
        <v>94742</v>
      </c>
      <c r="J24" s="92">
        <f t="shared" si="6"/>
        <v>162414.85714285716</v>
      </c>
      <c r="K24" s="27"/>
    </row>
    <row r="25" spans="1:12">
      <c r="A25" s="42"/>
      <c r="B25" s="42"/>
      <c r="C25" s="42"/>
      <c r="D25" s="107"/>
      <c r="E25" s="107"/>
      <c r="F25" s="107"/>
      <c r="G25" s="107"/>
      <c r="H25" s="107"/>
      <c r="I25" s="237"/>
      <c r="J25" s="92"/>
      <c r="K25" s="27"/>
    </row>
    <row r="26" spans="1:12">
      <c r="A26" s="42">
        <v>293</v>
      </c>
      <c r="B26" s="42">
        <v>265</v>
      </c>
      <c r="C26" s="42" t="s">
        <v>645</v>
      </c>
      <c r="D26" s="107">
        <v>1084000</v>
      </c>
      <c r="E26" s="107">
        <v>1025855.36</v>
      </c>
      <c r="F26" s="107">
        <v>0</v>
      </c>
      <c r="G26" s="107">
        <v>0</v>
      </c>
      <c r="H26" s="107">
        <v>0</v>
      </c>
      <c r="I26" s="237">
        <v>0</v>
      </c>
      <c r="J26" s="92">
        <v>250000</v>
      </c>
      <c r="K26" s="27"/>
    </row>
    <row r="27" spans="1:12">
      <c r="A27" s="42"/>
      <c r="B27" s="42"/>
      <c r="C27" s="42"/>
      <c r="D27" s="107"/>
      <c r="E27" s="107"/>
      <c r="F27" s="107"/>
      <c r="G27" s="107"/>
      <c r="H27" s="107"/>
      <c r="I27" s="237"/>
      <c r="J27" s="92">
        <f>J26</f>
        <v>250000</v>
      </c>
      <c r="K27" s="27"/>
    </row>
    <row r="28" spans="1:12">
      <c r="A28" s="42"/>
      <c r="B28" s="42"/>
      <c r="C28" s="42"/>
      <c r="D28" s="106"/>
      <c r="E28" s="106"/>
      <c r="F28" s="107"/>
      <c r="G28" s="107"/>
      <c r="H28" s="107"/>
      <c r="I28" s="237"/>
      <c r="J28" s="55"/>
      <c r="K28" s="27"/>
    </row>
    <row r="29" spans="1:12">
      <c r="A29" s="13">
        <v>245</v>
      </c>
      <c r="B29" s="13">
        <v>225</v>
      </c>
      <c r="C29" s="13" t="s">
        <v>259</v>
      </c>
      <c r="D29" s="104">
        <v>600</v>
      </c>
      <c r="E29" s="104">
        <v>480</v>
      </c>
      <c r="F29" s="104">
        <v>600</v>
      </c>
      <c r="G29" s="104">
        <v>0</v>
      </c>
      <c r="H29" s="104">
        <v>6000</v>
      </c>
      <c r="I29" s="235">
        <f>'GENERAL EXPENDITURE'!I85</f>
        <v>0</v>
      </c>
      <c r="J29" s="80">
        <f>'GENERAL EXPENDITURE'!J85</f>
        <v>0</v>
      </c>
      <c r="K29" s="27">
        <f>+E29/8*12</f>
        <v>720</v>
      </c>
      <c r="L29" s="27"/>
    </row>
    <row r="30" spans="1:12">
      <c r="A30" s="42"/>
      <c r="B30" s="42"/>
      <c r="C30" s="42"/>
      <c r="D30" s="107">
        <f t="shared" ref="D30:J30" si="7">D29</f>
        <v>600</v>
      </c>
      <c r="E30" s="107">
        <f t="shared" si="7"/>
        <v>480</v>
      </c>
      <c r="F30" s="107">
        <f t="shared" si="7"/>
        <v>600</v>
      </c>
      <c r="G30" s="107">
        <f t="shared" si="7"/>
        <v>0</v>
      </c>
      <c r="H30" s="107">
        <f t="shared" si="7"/>
        <v>6000</v>
      </c>
      <c r="I30" s="237">
        <f t="shared" si="7"/>
        <v>0</v>
      </c>
      <c r="J30" s="92">
        <f t="shared" si="7"/>
        <v>0</v>
      </c>
      <c r="K30" s="27"/>
      <c r="L30" s="27"/>
    </row>
    <row r="31" spans="1:12">
      <c r="A31" s="42"/>
      <c r="B31" s="42"/>
      <c r="C31" s="42"/>
      <c r="D31" s="106"/>
      <c r="E31" s="106"/>
      <c r="F31" s="106"/>
      <c r="G31" s="106"/>
      <c r="H31" s="106"/>
      <c r="I31" s="241"/>
      <c r="J31" s="40"/>
      <c r="K31" s="27"/>
      <c r="L31" s="27"/>
    </row>
    <row r="32" spans="1:12">
      <c r="A32" s="13">
        <v>230</v>
      </c>
      <c r="B32" s="13">
        <v>127</v>
      </c>
      <c r="C32" s="13" t="s">
        <v>137</v>
      </c>
      <c r="D32" s="104">
        <v>20000</v>
      </c>
      <c r="E32" s="104">
        <v>12874.6</v>
      </c>
      <c r="F32" s="104">
        <v>20000</v>
      </c>
      <c r="G32" s="104">
        <v>11750</v>
      </c>
      <c r="H32" s="104">
        <v>20000</v>
      </c>
      <c r="I32" s="235">
        <f>'GENERAL EXPENDITURE'!I40</f>
        <v>11750</v>
      </c>
      <c r="J32" s="80">
        <f>'GENERAL EXPENDITURE'!J40</f>
        <v>30000</v>
      </c>
      <c r="K32" s="27">
        <v>19311.900000000001</v>
      </c>
      <c r="L32" s="27"/>
    </row>
    <row r="33" spans="1:12">
      <c r="A33" s="13">
        <v>281</v>
      </c>
      <c r="B33" s="13">
        <v>127</v>
      </c>
      <c r="C33" s="13" t="s">
        <v>507</v>
      </c>
      <c r="D33" s="104">
        <v>10000</v>
      </c>
      <c r="E33" s="104">
        <v>0</v>
      </c>
      <c r="F33" s="104">
        <v>30000</v>
      </c>
      <c r="G33" s="104">
        <v>0</v>
      </c>
      <c r="H33" s="104">
        <v>30000</v>
      </c>
      <c r="I33" s="235">
        <f>'GENERAL EXPENDITURE'!I150</f>
        <v>0</v>
      </c>
      <c r="J33" s="80">
        <f>'GENERAL EXPENDITURE'!J150</f>
        <v>10000</v>
      </c>
      <c r="K33" s="27"/>
      <c r="L33" s="27"/>
    </row>
    <row r="34" spans="1:12" s="35" customFormat="1">
      <c r="A34" s="79">
        <v>291</v>
      </c>
      <c r="B34" s="79">
        <v>127</v>
      </c>
      <c r="C34" s="79" t="s">
        <v>507</v>
      </c>
      <c r="D34" s="104">
        <v>1000</v>
      </c>
      <c r="E34" s="104">
        <v>82.98</v>
      </c>
      <c r="F34" s="104">
        <v>400000</v>
      </c>
      <c r="G34" s="104">
        <v>41.49</v>
      </c>
      <c r="H34" s="104">
        <v>200000</v>
      </c>
      <c r="I34" s="235">
        <f>'GENERAL EXPENDITURE'!I172</f>
        <v>41.49</v>
      </c>
      <c r="J34" s="84">
        <f>'GENERAL EXPENDITURE'!J172</f>
        <v>200000</v>
      </c>
      <c r="K34" s="38">
        <v>124.47</v>
      </c>
    </row>
    <row r="35" spans="1:12" s="35" customFormat="1">
      <c r="A35" s="79">
        <v>293</v>
      </c>
      <c r="B35" s="79">
        <v>127</v>
      </c>
      <c r="C35" s="79" t="s">
        <v>507</v>
      </c>
      <c r="D35" s="104">
        <v>3000000</v>
      </c>
      <c r="E35" s="104">
        <v>1101922</v>
      </c>
      <c r="F35" s="104">
        <v>1200000</v>
      </c>
      <c r="G35" s="104">
        <v>534677.19999999995</v>
      </c>
      <c r="H35" s="104">
        <v>1200000</v>
      </c>
      <c r="I35" s="235">
        <f>'GENERAL EXPENDITURE'!I183</f>
        <v>534677.19999999995</v>
      </c>
      <c r="J35" s="84">
        <f>'GENERAL EXPENDITURE'!J183</f>
        <v>950000</v>
      </c>
      <c r="K35" s="38">
        <v>1652883</v>
      </c>
      <c r="L35" s="38"/>
    </row>
    <row r="36" spans="1:12" s="35" customFormat="1">
      <c r="A36" s="90"/>
      <c r="B36" s="90"/>
      <c r="C36" s="90"/>
      <c r="D36" s="107">
        <f t="shared" ref="D36:J36" si="8">SUM(D32:D35)</f>
        <v>3031000</v>
      </c>
      <c r="E36" s="107">
        <f t="shared" si="8"/>
        <v>1114879.58</v>
      </c>
      <c r="F36" s="107">
        <f t="shared" si="8"/>
        <v>1650000</v>
      </c>
      <c r="G36" s="107">
        <f t="shared" si="8"/>
        <v>546468.68999999994</v>
      </c>
      <c r="H36" s="107">
        <f t="shared" si="8"/>
        <v>1450000</v>
      </c>
      <c r="I36" s="237">
        <f t="shared" si="8"/>
        <v>546468.68999999994</v>
      </c>
      <c r="J36" s="92">
        <f t="shared" si="8"/>
        <v>1190000</v>
      </c>
      <c r="K36" s="38"/>
      <c r="L36" s="38"/>
    </row>
    <row r="37" spans="1:12" s="35" customFormat="1">
      <c r="A37" s="90"/>
      <c r="B37" s="90"/>
      <c r="C37" s="90"/>
      <c r="D37" s="106"/>
      <c r="E37" s="106"/>
      <c r="F37" s="107"/>
      <c r="G37" s="107"/>
      <c r="H37" s="107"/>
      <c r="I37" s="237"/>
      <c r="J37" s="92"/>
      <c r="K37" s="38"/>
      <c r="L37" s="38"/>
    </row>
    <row r="38" spans="1:12" s="35" customFormat="1">
      <c r="A38" s="13">
        <v>268</v>
      </c>
      <c r="B38" s="13">
        <v>196</v>
      </c>
      <c r="C38" s="13" t="s">
        <v>344</v>
      </c>
      <c r="D38" s="104">
        <v>504501</v>
      </c>
      <c r="E38" s="104">
        <v>504501</v>
      </c>
      <c r="F38" s="104">
        <v>200000</v>
      </c>
      <c r="G38" s="104">
        <v>252770.38</v>
      </c>
      <c r="H38" s="104">
        <v>400000</v>
      </c>
      <c r="I38" s="235">
        <f>'GENERAL EXPENDITURE'!I110</f>
        <v>252770.38</v>
      </c>
      <c r="J38" s="80">
        <f>'GENERAL EXPENDITURE'!J110</f>
        <v>300000</v>
      </c>
      <c r="K38" s="38"/>
      <c r="L38" s="38"/>
    </row>
    <row r="39" spans="1:12">
      <c r="A39" s="13">
        <v>268</v>
      </c>
      <c r="B39" s="13">
        <v>297</v>
      </c>
      <c r="C39" s="13" t="s">
        <v>355</v>
      </c>
      <c r="D39" s="104">
        <v>403213.96</v>
      </c>
      <c r="E39" s="104">
        <v>60000</v>
      </c>
      <c r="F39" s="104">
        <v>1000000</v>
      </c>
      <c r="G39" s="104">
        <v>32400</v>
      </c>
      <c r="H39" s="104">
        <v>890000</v>
      </c>
      <c r="I39" s="235">
        <f>'GENERAL EXPENDITURE'!I115</f>
        <v>104196</v>
      </c>
      <c r="J39" s="80">
        <f>'GENERAL EXPENDITURE'!J115</f>
        <v>300000</v>
      </c>
      <c r="K39" s="27">
        <f>+E39/8*12</f>
        <v>90000</v>
      </c>
      <c r="L39" s="27"/>
    </row>
    <row r="40" spans="1:12">
      <c r="A40" s="42"/>
      <c r="B40" s="42"/>
      <c r="C40" s="42"/>
      <c r="D40" s="107">
        <f t="shared" ref="D40:J40" si="9">SUM(D38:D39)</f>
        <v>907714.96</v>
      </c>
      <c r="E40" s="107">
        <f t="shared" si="9"/>
        <v>564501</v>
      </c>
      <c r="F40" s="107">
        <f t="shared" si="9"/>
        <v>1200000</v>
      </c>
      <c r="G40" s="107">
        <f t="shared" si="9"/>
        <v>285170.38</v>
      </c>
      <c r="H40" s="107">
        <f t="shared" si="9"/>
        <v>1290000</v>
      </c>
      <c r="I40" s="237">
        <f t="shared" si="9"/>
        <v>356966.38</v>
      </c>
      <c r="J40" s="92">
        <f t="shared" si="9"/>
        <v>600000</v>
      </c>
      <c r="K40" s="27">
        <v>756751.5</v>
      </c>
      <c r="L40" s="27"/>
    </row>
    <row r="41" spans="1:12">
      <c r="A41" s="42"/>
      <c r="B41" s="42"/>
      <c r="C41" s="42"/>
      <c r="D41" s="106"/>
      <c r="E41" s="106"/>
      <c r="F41" s="106"/>
      <c r="G41" s="106"/>
      <c r="H41" s="106"/>
      <c r="I41" s="241"/>
      <c r="J41" s="40"/>
      <c r="K41" s="27"/>
      <c r="L41" s="27"/>
    </row>
    <row r="42" spans="1:12" s="35" customFormat="1">
      <c r="A42" s="79">
        <v>291</v>
      </c>
      <c r="B42" s="79">
        <v>294</v>
      </c>
      <c r="C42" s="79" t="s">
        <v>601</v>
      </c>
      <c r="D42" s="104">
        <v>570000</v>
      </c>
      <c r="E42" s="104">
        <v>237170</v>
      </c>
      <c r="F42" s="104">
        <v>500000</v>
      </c>
      <c r="G42" s="104">
        <v>267728</v>
      </c>
      <c r="H42" s="104">
        <v>500000</v>
      </c>
      <c r="I42" s="235">
        <f>'GENERAL EXPENDITURE'!I178</f>
        <v>267728</v>
      </c>
      <c r="J42" s="84">
        <f>'GENERAL EXPENDITURE'!J178</f>
        <v>500000</v>
      </c>
      <c r="K42" s="38">
        <v>355755</v>
      </c>
    </row>
    <row r="43" spans="1:12" s="35" customFormat="1">
      <c r="A43" s="90"/>
      <c r="B43" s="90"/>
      <c r="C43" s="90"/>
      <c r="D43" s="107">
        <f t="shared" ref="D43:J43" si="10">D42</f>
        <v>570000</v>
      </c>
      <c r="E43" s="107">
        <f t="shared" si="10"/>
        <v>237170</v>
      </c>
      <c r="F43" s="107">
        <f t="shared" si="10"/>
        <v>500000</v>
      </c>
      <c r="G43" s="107">
        <f t="shared" si="10"/>
        <v>267728</v>
      </c>
      <c r="H43" s="107">
        <f t="shared" si="10"/>
        <v>500000</v>
      </c>
      <c r="I43" s="237">
        <f t="shared" si="10"/>
        <v>267728</v>
      </c>
      <c r="J43" s="92">
        <f t="shared" si="10"/>
        <v>500000</v>
      </c>
      <c r="K43" s="38"/>
    </row>
    <row r="44" spans="1:12" s="35" customFormat="1">
      <c r="A44" s="90"/>
      <c r="B44" s="90"/>
      <c r="C44" s="90"/>
      <c r="D44" s="106"/>
      <c r="E44" s="106"/>
      <c r="F44" s="106"/>
      <c r="G44" s="106"/>
      <c r="H44" s="106"/>
      <c r="I44" s="241"/>
      <c r="J44" s="91"/>
      <c r="K44" s="38"/>
    </row>
    <row r="45" spans="1:12" s="35" customFormat="1">
      <c r="A45" s="79">
        <v>290</v>
      </c>
      <c r="B45" s="79">
        <v>252</v>
      </c>
      <c r="C45" s="79" t="s">
        <v>546</v>
      </c>
      <c r="D45" s="104">
        <v>658000</v>
      </c>
      <c r="E45" s="104">
        <v>455286.9</v>
      </c>
      <c r="F45" s="104">
        <v>682930</v>
      </c>
      <c r="G45" s="104">
        <v>326919.09999999998</v>
      </c>
      <c r="H45" s="104">
        <v>682930</v>
      </c>
      <c r="I45" s="235">
        <f>'GENERAL EXPENDITURE'!I167</f>
        <v>342767.1</v>
      </c>
      <c r="J45" s="84">
        <f>'GENERAL EXPENDITURE'!J167</f>
        <v>622856.78</v>
      </c>
      <c r="K45" s="38">
        <f>+E45/8*12</f>
        <v>682930.35000000009</v>
      </c>
    </row>
    <row r="46" spans="1:12" s="35" customFormat="1">
      <c r="A46" s="90"/>
      <c r="B46" s="90"/>
      <c r="C46" s="90"/>
      <c r="D46" s="107">
        <f t="shared" ref="D46:J46" si="11">D45</f>
        <v>658000</v>
      </c>
      <c r="E46" s="107">
        <f t="shared" si="11"/>
        <v>455286.9</v>
      </c>
      <c r="F46" s="107">
        <f t="shared" si="11"/>
        <v>682930</v>
      </c>
      <c r="G46" s="107">
        <f t="shared" si="11"/>
        <v>326919.09999999998</v>
      </c>
      <c r="H46" s="107">
        <f t="shared" si="11"/>
        <v>682930</v>
      </c>
      <c r="I46" s="237">
        <f t="shared" si="11"/>
        <v>342767.1</v>
      </c>
      <c r="J46" s="92">
        <f t="shared" si="11"/>
        <v>622856.78</v>
      </c>
      <c r="K46" s="38"/>
    </row>
    <row r="47" spans="1:12" s="35" customFormat="1">
      <c r="A47" s="90"/>
      <c r="B47" s="90"/>
      <c r="C47" s="90"/>
      <c r="D47" s="107"/>
      <c r="E47" s="107"/>
      <c r="F47" s="107"/>
      <c r="G47" s="107"/>
      <c r="H47" s="107"/>
      <c r="I47" s="237"/>
      <c r="J47" s="92"/>
      <c r="K47" s="38"/>
    </row>
    <row r="48" spans="1:12" s="35" customFormat="1">
      <c r="A48" s="90">
        <v>274</v>
      </c>
      <c r="B48" s="90">
        <v>108</v>
      </c>
      <c r="C48" s="90" t="s">
        <v>385</v>
      </c>
      <c r="D48" s="107">
        <v>300000</v>
      </c>
      <c r="E48" s="107">
        <v>-18589.849999999999</v>
      </c>
      <c r="F48" s="107">
        <v>0</v>
      </c>
      <c r="G48" s="107">
        <v>0</v>
      </c>
      <c r="H48" s="107">
        <v>0</v>
      </c>
      <c r="I48" s="237">
        <v>0</v>
      </c>
      <c r="J48" s="92">
        <v>300000</v>
      </c>
      <c r="K48" s="38"/>
    </row>
    <row r="49" spans="1:13" s="35" customFormat="1">
      <c r="A49" s="90"/>
      <c r="B49" s="90"/>
      <c r="C49" s="90"/>
      <c r="D49" s="106"/>
      <c r="E49" s="106"/>
      <c r="F49" s="107"/>
      <c r="G49" s="107"/>
      <c r="H49" s="107"/>
      <c r="I49" s="237"/>
      <c r="J49" s="92">
        <f>J48</f>
        <v>300000</v>
      </c>
      <c r="K49" s="38"/>
    </row>
    <row r="50" spans="1:13">
      <c r="A50" s="42"/>
      <c r="B50" s="42"/>
      <c r="C50" s="42"/>
      <c r="D50" s="106"/>
      <c r="E50" s="265"/>
      <c r="F50" s="106"/>
      <c r="G50" s="106"/>
      <c r="H50" s="106"/>
      <c r="I50" s="241"/>
      <c r="J50" s="40"/>
      <c r="K50" s="27"/>
      <c r="L50" s="27"/>
    </row>
    <row r="51" spans="1:13">
      <c r="A51" s="13">
        <v>268</v>
      </c>
      <c r="B51" s="13">
        <v>135</v>
      </c>
      <c r="C51" s="13" t="s">
        <v>341</v>
      </c>
      <c r="D51" s="104">
        <v>130000</v>
      </c>
      <c r="E51" s="104">
        <v>124307.98</v>
      </c>
      <c r="F51" s="104">
        <v>198000</v>
      </c>
      <c r="G51" s="104">
        <v>116724.08</v>
      </c>
      <c r="H51" s="104">
        <v>220000</v>
      </c>
      <c r="I51" s="235">
        <f>'GENERAL EXPENDITURE'!I107</f>
        <v>135931.84</v>
      </c>
      <c r="J51" s="80">
        <f>'GENERAL EXPENDITURE'!J107</f>
        <v>233026</v>
      </c>
      <c r="K51" s="27">
        <f>+E51/8*12</f>
        <v>186461.97</v>
      </c>
      <c r="L51" s="27"/>
      <c r="M51" s="27">
        <f>K51*6/100+K51</f>
        <v>197649.6882</v>
      </c>
    </row>
    <row r="52" spans="1:13">
      <c r="A52" s="42"/>
      <c r="B52" s="42"/>
      <c r="C52" s="42"/>
      <c r="D52" s="107">
        <f t="shared" ref="D52:J52" si="12">D51</f>
        <v>130000</v>
      </c>
      <c r="E52" s="107">
        <f t="shared" si="12"/>
        <v>124307.98</v>
      </c>
      <c r="F52" s="107">
        <f t="shared" si="12"/>
        <v>198000</v>
      </c>
      <c r="G52" s="107">
        <f t="shared" si="12"/>
        <v>116724.08</v>
      </c>
      <c r="H52" s="107">
        <f t="shared" si="12"/>
        <v>220000</v>
      </c>
      <c r="I52" s="237">
        <f t="shared" si="12"/>
        <v>135931.84</v>
      </c>
      <c r="J52" s="92">
        <f t="shared" si="12"/>
        <v>233026</v>
      </c>
      <c r="K52" s="27"/>
      <c r="L52" s="27"/>
      <c r="M52" s="27"/>
    </row>
    <row r="53" spans="1:13">
      <c r="A53" s="42"/>
      <c r="B53" s="42"/>
      <c r="C53" s="42"/>
      <c r="D53" s="106"/>
      <c r="E53" s="106"/>
      <c r="F53" s="106"/>
      <c r="G53" s="106"/>
      <c r="H53" s="106"/>
      <c r="I53" s="241"/>
      <c r="J53" s="40"/>
      <c r="K53" s="27"/>
      <c r="L53" s="27"/>
      <c r="M53" s="27"/>
    </row>
    <row r="54" spans="1:13">
      <c r="A54" s="13">
        <v>244</v>
      </c>
      <c r="B54" s="13">
        <v>208</v>
      </c>
      <c r="C54" s="13" t="s">
        <v>207</v>
      </c>
      <c r="D54" s="104">
        <v>192000</v>
      </c>
      <c r="E54" s="104">
        <v>107533.5</v>
      </c>
      <c r="F54" s="104">
        <v>162000</v>
      </c>
      <c r="G54" s="104">
        <v>78346.149999999994</v>
      </c>
      <c r="H54" s="104">
        <v>162000</v>
      </c>
      <c r="I54" s="235">
        <f>'GENERAL EXPENDITURE'!I71</f>
        <v>105673.1</v>
      </c>
      <c r="J54" s="80">
        <f>'GENERAL EXPENDITURE'!J71</f>
        <v>190000</v>
      </c>
      <c r="K54" s="27">
        <v>161300.25</v>
      </c>
      <c r="L54" s="27"/>
    </row>
    <row r="55" spans="1:13">
      <c r="A55" s="13">
        <v>245</v>
      </c>
      <c r="B55" s="13">
        <v>208</v>
      </c>
      <c r="C55" s="13" t="s">
        <v>207</v>
      </c>
      <c r="D55" s="104">
        <v>600</v>
      </c>
      <c r="E55" s="104">
        <v>386</v>
      </c>
      <c r="F55" s="104">
        <v>600</v>
      </c>
      <c r="G55" s="104">
        <v>0</v>
      </c>
      <c r="H55" s="104">
        <v>0</v>
      </c>
      <c r="I55" s="235">
        <f>'GENERAL EXPENDITURE'!I84</f>
        <v>0</v>
      </c>
      <c r="J55" s="80">
        <f>'GENERAL EXPENDITURE'!J84</f>
        <v>0</v>
      </c>
      <c r="K55" s="27">
        <v>579</v>
      </c>
      <c r="L55" s="27"/>
    </row>
    <row r="56" spans="1:13">
      <c r="A56" s="79">
        <v>291</v>
      </c>
      <c r="B56" s="79">
        <v>208</v>
      </c>
      <c r="C56" s="79" t="s">
        <v>1101</v>
      </c>
      <c r="D56" s="104"/>
      <c r="E56" s="104"/>
      <c r="F56" s="104">
        <v>0</v>
      </c>
      <c r="G56" s="104">
        <v>6000</v>
      </c>
      <c r="H56" s="104">
        <v>12000</v>
      </c>
      <c r="I56" s="235">
        <f>'GENERAL EXPENDITURE'!I176</f>
        <v>6000</v>
      </c>
      <c r="J56" s="84">
        <f>'GENERAL EXPENDITURE'!J176</f>
        <v>12000</v>
      </c>
      <c r="K56" s="27"/>
      <c r="L56" s="27"/>
    </row>
    <row r="57" spans="1:13" s="35" customFormat="1">
      <c r="A57" s="79">
        <v>293</v>
      </c>
      <c r="B57" s="79">
        <v>208</v>
      </c>
      <c r="C57" s="79" t="s">
        <v>207</v>
      </c>
      <c r="D57" s="104">
        <v>0</v>
      </c>
      <c r="E57" s="104">
        <v>146.82</v>
      </c>
      <c r="F57" s="104">
        <v>0</v>
      </c>
      <c r="G57" s="104">
        <v>56833.48</v>
      </c>
      <c r="H57" s="104">
        <v>0</v>
      </c>
      <c r="I57" s="235">
        <f>'GENERAL EXPENDITURE'!I191</f>
        <v>56833.48</v>
      </c>
      <c r="J57" s="84">
        <f>'GENERAL EXPENDITURE'!J191</f>
        <v>60000</v>
      </c>
      <c r="K57" s="38">
        <v>220.23</v>
      </c>
    </row>
    <row r="58" spans="1:13" s="35" customFormat="1">
      <c r="A58" s="90"/>
      <c r="B58" s="90"/>
      <c r="C58" s="90"/>
      <c r="D58" s="107">
        <f t="shared" ref="D58:J58" si="13">SUM(D54:D57)</f>
        <v>192600</v>
      </c>
      <c r="E58" s="107">
        <f t="shared" si="13"/>
        <v>108066.32</v>
      </c>
      <c r="F58" s="107">
        <f t="shared" si="13"/>
        <v>162600</v>
      </c>
      <c r="G58" s="107">
        <f t="shared" si="13"/>
        <v>141179.63</v>
      </c>
      <c r="H58" s="107">
        <f t="shared" si="13"/>
        <v>174000</v>
      </c>
      <c r="I58" s="237">
        <f t="shared" si="13"/>
        <v>168506.58000000002</v>
      </c>
      <c r="J58" s="92">
        <f t="shared" si="13"/>
        <v>262000</v>
      </c>
      <c r="K58" s="38"/>
    </row>
    <row r="59" spans="1:13" s="35" customFormat="1">
      <c r="A59" s="90"/>
      <c r="B59" s="90"/>
      <c r="C59" s="90"/>
      <c r="D59" s="106"/>
      <c r="E59" s="106"/>
      <c r="F59" s="106"/>
      <c r="G59" s="106"/>
      <c r="H59" s="106"/>
      <c r="I59" s="241"/>
      <c r="J59" s="91"/>
      <c r="K59" s="38"/>
    </row>
    <row r="60" spans="1:13">
      <c r="A60" s="13">
        <v>239</v>
      </c>
      <c r="B60" s="13">
        <v>211</v>
      </c>
      <c r="C60" s="13" t="s">
        <v>163</v>
      </c>
      <c r="D60" s="104">
        <v>8000</v>
      </c>
      <c r="E60" s="104">
        <v>4000</v>
      </c>
      <c r="F60" s="104">
        <v>6000</v>
      </c>
      <c r="G60" s="104">
        <v>0</v>
      </c>
      <c r="H60" s="104">
        <v>0</v>
      </c>
      <c r="I60" s="235">
        <f>'GENERAL EXPENDITURE'!I53</f>
        <v>0</v>
      </c>
      <c r="J60" s="80">
        <f>'GENERAL EXPENDITURE'!J53</f>
        <v>0</v>
      </c>
      <c r="K60" s="27">
        <v>6000</v>
      </c>
    </row>
    <row r="61" spans="1:13">
      <c r="A61" s="13">
        <v>267</v>
      </c>
      <c r="B61" s="13">
        <v>211</v>
      </c>
      <c r="C61" s="13" t="s">
        <v>163</v>
      </c>
      <c r="D61" s="104">
        <v>400000</v>
      </c>
      <c r="E61" s="104">
        <v>314453.53000000003</v>
      </c>
      <c r="F61" s="104">
        <v>472000</v>
      </c>
      <c r="G61" s="104">
        <v>315823.44</v>
      </c>
      <c r="H61" s="104">
        <v>500000</v>
      </c>
      <c r="I61" s="235">
        <f>'GENERAL EXPENDITURE'!I102</f>
        <v>361949.24</v>
      </c>
      <c r="J61" s="80">
        <f>'GENERAL EXPENDITURE'!J102</f>
        <v>620484.41142857145</v>
      </c>
      <c r="K61" s="27">
        <v>471680.29500000004</v>
      </c>
    </row>
    <row r="62" spans="1:13">
      <c r="A62" s="42"/>
      <c r="B62" s="42"/>
      <c r="C62" s="42"/>
      <c r="D62" s="107">
        <f t="shared" ref="D62:J62" si="14">SUM(D60:D61)</f>
        <v>408000</v>
      </c>
      <c r="E62" s="107">
        <f t="shared" si="14"/>
        <v>318453.53000000003</v>
      </c>
      <c r="F62" s="107">
        <f t="shared" si="14"/>
        <v>478000</v>
      </c>
      <c r="G62" s="107">
        <f t="shared" si="14"/>
        <v>315823.44</v>
      </c>
      <c r="H62" s="107">
        <f t="shared" si="14"/>
        <v>500000</v>
      </c>
      <c r="I62" s="237">
        <f t="shared" si="14"/>
        <v>361949.24</v>
      </c>
      <c r="J62" s="92">
        <f t="shared" si="14"/>
        <v>620484.41142857145</v>
      </c>
      <c r="K62" s="27"/>
    </row>
    <row r="63" spans="1:13">
      <c r="A63" s="42"/>
      <c r="B63" s="42"/>
      <c r="C63" s="42"/>
      <c r="D63" s="106"/>
      <c r="E63" s="106"/>
      <c r="F63" s="106"/>
      <c r="G63" s="106"/>
      <c r="H63" s="106"/>
      <c r="I63" s="241"/>
      <c r="J63" s="40"/>
      <c r="K63" s="27"/>
    </row>
    <row r="64" spans="1:13">
      <c r="A64" s="13">
        <v>244</v>
      </c>
      <c r="B64" s="13">
        <v>135</v>
      </c>
      <c r="C64" s="13" t="s">
        <v>189</v>
      </c>
      <c r="D64" s="104">
        <v>100000</v>
      </c>
      <c r="E64" s="104">
        <v>80668.69</v>
      </c>
      <c r="F64" s="104">
        <v>128263.21710000001</v>
      </c>
      <c r="G64" s="104">
        <v>79653.06</v>
      </c>
      <c r="H64" s="104">
        <v>160000</v>
      </c>
      <c r="I64" s="235">
        <f>'GENERAL EXPENDITURE'!I59</f>
        <v>84076.63</v>
      </c>
      <c r="J64" s="80">
        <f>CORPORATE!J45</f>
        <v>3080788.54</v>
      </c>
      <c r="K64" s="27">
        <v>121003.035</v>
      </c>
      <c r="L64" s="27"/>
    </row>
    <row r="65" spans="1:12">
      <c r="A65" s="13">
        <v>245</v>
      </c>
      <c r="B65" s="13">
        <v>135</v>
      </c>
      <c r="C65" s="13" t="s">
        <v>189</v>
      </c>
      <c r="D65" s="104">
        <v>70000</v>
      </c>
      <c r="E65" s="104">
        <v>34960.160000000003</v>
      </c>
      <c r="F65" s="104">
        <v>80000</v>
      </c>
      <c r="G65" s="104">
        <v>88265.67</v>
      </c>
      <c r="H65" s="104">
        <v>176000</v>
      </c>
      <c r="I65" s="235">
        <f>'GENERAL EXPENDITURE'!I78</f>
        <v>92544.08</v>
      </c>
      <c r="J65" s="80">
        <f>'COMMUNITY SERVICES'!J162</f>
        <v>165000</v>
      </c>
      <c r="K65" s="27">
        <v>52440.240000000005</v>
      </c>
      <c r="L65" s="27"/>
    </row>
    <row r="66" spans="1:12">
      <c r="A66" s="13"/>
      <c r="B66" s="13"/>
      <c r="C66" s="337" t="s">
        <v>577</v>
      </c>
      <c r="D66" s="338"/>
      <c r="E66" s="338"/>
      <c r="F66" s="338"/>
      <c r="G66" s="338"/>
      <c r="H66" s="338"/>
      <c r="I66" s="338"/>
      <c r="J66" s="338">
        <v>2200462.9700000002</v>
      </c>
      <c r="K66" s="27"/>
      <c r="L66" s="27"/>
    </row>
    <row r="67" spans="1:12" s="35" customFormat="1">
      <c r="A67" s="79">
        <v>290</v>
      </c>
      <c r="B67" s="79">
        <v>135</v>
      </c>
      <c r="C67" s="79" t="s">
        <v>189</v>
      </c>
      <c r="D67" s="104">
        <v>2000000</v>
      </c>
      <c r="E67" s="104">
        <v>1816928.49</v>
      </c>
      <c r="F67" s="104">
        <v>2700000</v>
      </c>
      <c r="G67" s="104">
        <v>6919153.3899999997</v>
      </c>
      <c r="H67" s="104">
        <v>2700000</v>
      </c>
      <c r="I67" s="235">
        <f>'GENERAL EXPENDITURE'!I160</f>
        <v>10821365.199999999</v>
      </c>
      <c r="J67" s="84">
        <f>'GENERAL EXPENDITURE'!J160</f>
        <v>0</v>
      </c>
      <c r="K67" s="38">
        <v>2725392.7349999999</v>
      </c>
    </row>
    <row r="68" spans="1:12" s="35" customFormat="1">
      <c r="A68" s="79">
        <v>291</v>
      </c>
      <c r="B68" s="79">
        <v>135</v>
      </c>
      <c r="C68" s="79" t="s">
        <v>189</v>
      </c>
      <c r="D68" s="104">
        <v>200000</v>
      </c>
      <c r="E68" s="104">
        <v>170386.04</v>
      </c>
      <c r="F68" s="104">
        <v>300000</v>
      </c>
      <c r="G68" s="104">
        <v>167135.62</v>
      </c>
      <c r="H68" s="104">
        <v>300000</v>
      </c>
      <c r="I68" s="235">
        <f>'GENERAL EXPENDITURE'!I173</f>
        <v>200880.57</v>
      </c>
      <c r="J68" s="84">
        <f>'GENERAL EXPENDITURE'!J173</f>
        <v>3000000</v>
      </c>
      <c r="K68" s="38">
        <v>255579.06</v>
      </c>
    </row>
    <row r="69" spans="1:12" s="35" customFormat="1">
      <c r="A69" s="79">
        <v>293</v>
      </c>
      <c r="B69" s="79">
        <v>135</v>
      </c>
      <c r="C69" s="79" t="s">
        <v>189</v>
      </c>
      <c r="D69" s="104">
        <v>5500000</v>
      </c>
      <c r="E69" s="104">
        <v>4677949.45</v>
      </c>
      <c r="F69" s="104">
        <v>4600000</v>
      </c>
      <c r="G69" s="104">
        <v>1806431.96</v>
      </c>
      <c r="H69" s="104">
        <v>4600000</v>
      </c>
      <c r="I69" s="235">
        <f>'GENERAL EXPENDITURE'!I184</f>
        <v>1860637.45</v>
      </c>
      <c r="J69" s="84">
        <f>'GENERAL EXPENDITURE'!J184</f>
        <v>5031879.34</v>
      </c>
      <c r="K69" s="38">
        <v>7016924.1750000007</v>
      </c>
    </row>
    <row r="70" spans="1:12">
      <c r="A70" s="42"/>
      <c r="B70" s="42"/>
      <c r="C70" s="42"/>
      <c r="D70" s="107">
        <f t="shared" ref="D70:J70" si="15">SUM(D64:D69)</f>
        <v>7870000</v>
      </c>
      <c r="E70" s="107">
        <f t="shared" si="15"/>
        <v>6780892.8300000001</v>
      </c>
      <c r="F70" s="107">
        <f t="shared" si="15"/>
        <v>7808263.2171</v>
      </c>
      <c r="G70" s="107">
        <f t="shared" si="15"/>
        <v>9060639.6999999993</v>
      </c>
      <c r="H70" s="107">
        <f t="shared" si="15"/>
        <v>7936000</v>
      </c>
      <c r="I70" s="237">
        <f t="shared" si="15"/>
        <v>13059503.93</v>
      </c>
      <c r="J70" s="92">
        <f t="shared" si="15"/>
        <v>13478130.85</v>
      </c>
      <c r="K70" s="27"/>
      <c r="L70" s="27"/>
    </row>
    <row r="71" spans="1:12">
      <c r="A71" s="42"/>
      <c r="B71" s="42"/>
      <c r="C71" s="42"/>
      <c r="D71" s="106"/>
      <c r="E71" s="106"/>
      <c r="F71" s="107"/>
      <c r="G71" s="107"/>
      <c r="H71" s="107"/>
      <c r="I71" s="237"/>
      <c r="J71" s="55"/>
      <c r="K71" s="27"/>
      <c r="L71" s="27"/>
    </row>
    <row r="72" spans="1:12">
      <c r="A72" s="13">
        <v>230</v>
      </c>
      <c r="B72" s="13">
        <v>206</v>
      </c>
      <c r="C72" s="13" t="s">
        <v>141</v>
      </c>
      <c r="D72" s="104">
        <v>88455.27</v>
      </c>
      <c r="E72" s="104">
        <v>107894.22</v>
      </c>
      <c r="F72" s="104">
        <v>0</v>
      </c>
      <c r="G72" s="104">
        <v>0</v>
      </c>
      <c r="H72" s="104">
        <v>0</v>
      </c>
      <c r="I72" s="235">
        <f>'GENERAL EXPENDITURE'!I44</f>
        <v>0</v>
      </c>
      <c r="J72" s="80">
        <f>'GENERAL EXPENDITURE'!J44</f>
        <v>0</v>
      </c>
      <c r="K72" s="27">
        <v>161841.33000000002</v>
      </c>
      <c r="L72" s="27"/>
    </row>
    <row r="73" spans="1:12">
      <c r="A73" s="13">
        <v>244</v>
      </c>
      <c r="B73" s="13">
        <v>206</v>
      </c>
      <c r="C73" s="13" t="s">
        <v>141</v>
      </c>
      <c r="D73" s="104">
        <v>500000</v>
      </c>
      <c r="E73" s="104">
        <v>7100</v>
      </c>
      <c r="F73" s="104">
        <v>300000</v>
      </c>
      <c r="G73" s="104">
        <v>18000</v>
      </c>
      <c r="H73" s="104">
        <v>40000</v>
      </c>
      <c r="I73" s="235">
        <f>'GENERAL EXPENDITURE'!I70</f>
        <v>18000</v>
      </c>
      <c r="J73" s="80">
        <f>'GENERAL EXPENDITURE'!J70</f>
        <v>50000</v>
      </c>
      <c r="K73" s="27"/>
      <c r="L73" s="27"/>
    </row>
    <row r="74" spans="1:12">
      <c r="A74" s="42"/>
      <c r="B74" s="42"/>
      <c r="C74" s="42"/>
      <c r="D74" s="107">
        <f t="shared" ref="D74:J74" si="16">SUM(D72:D73)</f>
        <v>588455.27</v>
      </c>
      <c r="E74" s="107">
        <f t="shared" si="16"/>
        <v>114994.22</v>
      </c>
      <c r="F74" s="107">
        <f t="shared" si="16"/>
        <v>300000</v>
      </c>
      <c r="G74" s="107">
        <f t="shared" si="16"/>
        <v>18000</v>
      </c>
      <c r="H74" s="107">
        <f t="shared" si="16"/>
        <v>40000</v>
      </c>
      <c r="I74" s="237">
        <f t="shared" si="16"/>
        <v>18000</v>
      </c>
      <c r="J74" s="92">
        <f t="shared" si="16"/>
        <v>50000</v>
      </c>
      <c r="K74" s="27"/>
      <c r="L74" s="27"/>
    </row>
    <row r="75" spans="1:12">
      <c r="A75" s="42"/>
      <c r="B75" s="42"/>
      <c r="C75" s="42"/>
      <c r="D75" s="106"/>
      <c r="E75" s="106"/>
      <c r="F75" s="107"/>
      <c r="G75" s="107"/>
      <c r="H75" s="107"/>
      <c r="I75" s="237"/>
      <c r="J75" s="55"/>
      <c r="K75" s="27"/>
      <c r="L75" s="27"/>
    </row>
    <row r="76" spans="1:12">
      <c r="A76" s="13">
        <v>244</v>
      </c>
      <c r="B76" s="13">
        <v>123</v>
      </c>
      <c r="C76" s="13" t="s">
        <v>187</v>
      </c>
      <c r="D76" s="104">
        <v>700000</v>
      </c>
      <c r="E76" s="104">
        <v>401261.6</v>
      </c>
      <c r="F76" s="104">
        <v>400000</v>
      </c>
      <c r="G76" s="104">
        <v>2480.7399999999998</v>
      </c>
      <c r="H76" s="104">
        <v>20000</v>
      </c>
      <c r="I76" s="235">
        <f>'GENERAL EXPENDITURE'!I58</f>
        <v>2480.7399999999998</v>
      </c>
      <c r="J76" s="80">
        <f>'GENERAL EXPENDITURE'!J58</f>
        <v>100000</v>
      </c>
      <c r="K76" s="27">
        <v>601892.39999999991</v>
      </c>
      <c r="L76" s="27"/>
    </row>
    <row r="77" spans="1:12">
      <c r="A77" s="13">
        <v>245</v>
      </c>
      <c r="B77" s="13">
        <v>123</v>
      </c>
      <c r="C77" s="13" t="s">
        <v>187</v>
      </c>
      <c r="D77" s="104">
        <v>250000</v>
      </c>
      <c r="E77" s="104">
        <v>142450.78</v>
      </c>
      <c r="F77" s="104">
        <v>0</v>
      </c>
      <c r="G77" s="104">
        <v>0</v>
      </c>
      <c r="H77" s="104">
        <v>0</v>
      </c>
      <c r="I77" s="235">
        <f>'GENERAL EXPENDITURE'!I77</f>
        <v>0</v>
      </c>
      <c r="J77" s="80">
        <f>'GENERAL EXPENDITURE'!J77</f>
        <v>0</v>
      </c>
      <c r="K77" s="27">
        <v>213676.16999999998</v>
      </c>
      <c r="L77" s="27"/>
    </row>
    <row r="78" spans="1:12">
      <c r="A78" s="13">
        <v>262</v>
      </c>
      <c r="B78" s="13">
        <v>123</v>
      </c>
      <c r="C78" s="13" t="s">
        <v>187</v>
      </c>
      <c r="D78" s="104">
        <v>250000</v>
      </c>
      <c r="E78" s="104">
        <v>233003.96</v>
      </c>
      <c r="F78" s="104">
        <v>250000</v>
      </c>
      <c r="G78" s="104">
        <v>0</v>
      </c>
      <c r="H78" s="104">
        <v>100000</v>
      </c>
      <c r="I78" s="235">
        <f>'GENERAL EXPENDITURE'!I88</f>
        <v>0</v>
      </c>
      <c r="J78" s="80">
        <f>'GENERAL EXPENDITURE'!J88</f>
        <v>100000</v>
      </c>
      <c r="K78" s="27">
        <v>349505.94</v>
      </c>
      <c r="L78" s="27"/>
    </row>
    <row r="79" spans="1:12">
      <c r="A79" s="13">
        <v>267</v>
      </c>
      <c r="B79" s="13">
        <v>123</v>
      </c>
      <c r="C79" s="13" t="s">
        <v>187</v>
      </c>
      <c r="D79" s="104">
        <v>140544.04</v>
      </c>
      <c r="E79" s="104">
        <v>82208.66</v>
      </c>
      <c r="F79" s="104">
        <v>124000</v>
      </c>
      <c r="G79" s="104">
        <v>2599.86</v>
      </c>
      <c r="H79" s="104">
        <v>60000</v>
      </c>
      <c r="I79" s="235">
        <f>'GENERAL EXPENDITURE'!I95</f>
        <v>2599.86</v>
      </c>
      <c r="J79" s="80">
        <f>'GENERAL EXPENDITURE'!J95</f>
        <v>4456.9028571428571</v>
      </c>
      <c r="K79" s="27">
        <v>123312.99</v>
      </c>
    </row>
    <row r="80" spans="1:12">
      <c r="A80" s="13">
        <v>268</v>
      </c>
      <c r="B80" s="13">
        <v>123</v>
      </c>
      <c r="C80" s="13" t="s">
        <v>187</v>
      </c>
      <c r="D80" s="104">
        <v>710800</v>
      </c>
      <c r="E80" s="104">
        <v>289411.07</v>
      </c>
      <c r="F80" s="104">
        <v>243000</v>
      </c>
      <c r="G80" s="104">
        <v>35838.769999999997</v>
      </c>
      <c r="H80" s="104">
        <v>100000</v>
      </c>
      <c r="I80" s="235">
        <f>'GENERAL EXPENDITURE'!I106</f>
        <v>35838.769999999997</v>
      </c>
      <c r="J80" s="80">
        <f>'GENERAL EXPENDITURE'!J106</f>
        <v>100000</v>
      </c>
      <c r="K80" s="27">
        <v>434116.60499999998</v>
      </c>
      <c r="L80" s="27"/>
    </row>
    <row r="81" spans="1:12" s="35" customFormat="1">
      <c r="A81" s="79">
        <v>274</v>
      </c>
      <c r="B81" s="79">
        <v>123</v>
      </c>
      <c r="C81" s="79" t="s">
        <v>187</v>
      </c>
      <c r="D81" s="104">
        <v>10000</v>
      </c>
      <c r="E81" s="104">
        <v>0</v>
      </c>
      <c r="F81" s="104">
        <v>0</v>
      </c>
      <c r="G81" s="104">
        <v>0</v>
      </c>
      <c r="H81" s="104">
        <v>0</v>
      </c>
      <c r="I81" s="235">
        <f>'GENERAL EXPENDITURE'!I122</f>
        <v>0</v>
      </c>
      <c r="J81" s="84">
        <f>'GENERAL EXPENDITURE'!J122</f>
        <v>2000</v>
      </c>
      <c r="K81" s="38">
        <v>0</v>
      </c>
    </row>
    <row r="82" spans="1:12" s="35" customFormat="1">
      <c r="A82" s="79">
        <v>275</v>
      </c>
      <c r="B82" s="79">
        <v>123</v>
      </c>
      <c r="C82" s="79" t="s">
        <v>187</v>
      </c>
      <c r="D82" s="104">
        <v>652000</v>
      </c>
      <c r="E82" s="104">
        <v>424715.98</v>
      </c>
      <c r="F82" s="104">
        <v>200000</v>
      </c>
      <c r="G82" s="104">
        <v>13758.92</v>
      </c>
      <c r="H82" s="104">
        <v>90000</v>
      </c>
      <c r="I82" s="235">
        <f>'GENERAL EXPENDITURE'!I139</f>
        <v>60070.92</v>
      </c>
      <c r="J82" s="84">
        <f>'GENERAL EXPENDITURE'!J139</f>
        <v>120000</v>
      </c>
      <c r="K82" s="38">
        <v>637073.97</v>
      </c>
    </row>
    <row r="83" spans="1:12">
      <c r="A83" s="13">
        <v>281</v>
      </c>
      <c r="B83" s="13">
        <v>123</v>
      </c>
      <c r="C83" s="13" t="s">
        <v>187</v>
      </c>
      <c r="D83" s="104">
        <v>177000</v>
      </c>
      <c r="E83" s="104">
        <v>75515.7</v>
      </c>
      <c r="F83" s="104">
        <v>120000</v>
      </c>
      <c r="G83" s="104">
        <v>512.34</v>
      </c>
      <c r="H83" s="104">
        <v>70000</v>
      </c>
      <c r="I83" s="235">
        <f>'GENERAL EXPENDITURE'!I149</f>
        <v>562.34</v>
      </c>
      <c r="J83" s="80">
        <f>'GENERAL EXPENDITURE'!J149</f>
        <v>35000</v>
      </c>
      <c r="K83" s="27"/>
      <c r="L83" s="27"/>
    </row>
    <row r="84" spans="1:12" s="35" customFormat="1">
      <c r="A84" s="79">
        <v>290</v>
      </c>
      <c r="B84" s="79">
        <v>123</v>
      </c>
      <c r="C84" s="79" t="s">
        <v>187</v>
      </c>
      <c r="D84" s="104">
        <v>802000</v>
      </c>
      <c r="E84" s="104">
        <v>353125.17</v>
      </c>
      <c r="F84" s="104">
        <v>200000</v>
      </c>
      <c r="G84" s="104">
        <v>13298.37</v>
      </c>
      <c r="H84" s="104">
        <v>100000</v>
      </c>
      <c r="I84" s="235">
        <f>'GENERAL EXPENDITURE'!I159</f>
        <v>13298.37</v>
      </c>
      <c r="J84" s="84">
        <f>'GENERAL EXPENDITURE'!J159</f>
        <v>150000</v>
      </c>
      <c r="K84" s="38">
        <v>529687.755</v>
      </c>
    </row>
    <row r="85" spans="1:12" s="35" customFormat="1">
      <c r="A85" s="79">
        <v>291</v>
      </c>
      <c r="B85" s="79">
        <v>123</v>
      </c>
      <c r="C85" s="79" t="s">
        <v>187</v>
      </c>
      <c r="D85" s="104">
        <v>400000</v>
      </c>
      <c r="E85" s="104">
        <v>308164.64</v>
      </c>
      <c r="F85" s="104">
        <v>263000</v>
      </c>
      <c r="G85" s="104">
        <v>10134.36</v>
      </c>
      <c r="H85" s="104">
        <v>100000</v>
      </c>
      <c r="I85" s="235">
        <f>'GENERAL EXPENDITURE'!I171</f>
        <v>10134.36</v>
      </c>
      <c r="J85" s="84">
        <f>'GENERAL EXPENDITURE'!J171</f>
        <v>100000</v>
      </c>
      <c r="K85" s="38">
        <v>462246.96</v>
      </c>
    </row>
    <row r="86" spans="1:12" s="35" customFormat="1">
      <c r="A86" s="79">
        <v>293</v>
      </c>
      <c r="B86" s="79">
        <v>123</v>
      </c>
      <c r="C86" s="79" t="s">
        <v>187</v>
      </c>
      <c r="D86" s="104">
        <v>350000</v>
      </c>
      <c r="E86" s="104">
        <v>304865.84000000003</v>
      </c>
      <c r="F86" s="104">
        <v>200000</v>
      </c>
      <c r="G86" s="104">
        <v>8989.74</v>
      </c>
      <c r="H86" s="104">
        <v>100000</v>
      </c>
      <c r="I86" s="235">
        <f>'GENERAL EXPENDITURE'!I182</f>
        <v>8989.74</v>
      </c>
      <c r="J86" s="84">
        <f>'GENERAL EXPENDITURE'!J182</f>
        <v>20000</v>
      </c>
      <c r="K86" s="38">
        <v>457298.76</v>
      </c>
    </row>
    <row r="87" spans="1:12">
      <c r="A87" s="42"/>
      <c r="B87" s="42"/>
      <c r="C87" s="42"/>
      <c r="D87" s="107">
        <f t="shared" ref="D87:J87" si="17">SUM(D76:D86)</f>
        <v>4442344.04</v>
      </c>
      <c r="E87" s="107">
        <f t="shared" si="17"/>
        <v>2614723.4</v>
      </c>
      <c r="F87" s="107">
        <f t="shared" si="17"/>
        <v>2000000</v>
      </c>
      <c r="G87" s="107">
        <f t="shared" si="17"/>
        <v>87613.099999999991</v>
      </c>
      <c r="H87" s="107">
        <f t="shared" si="17"/>
        <v>740000</v>
      </c>
      <c r="I87" s="237">
        <f t="shared" si="17"/>
        <v>133975.09999999998</v>
      </c>
      <c r="J87" s="92">
        <f t="shared" si="17"/>
        <v>731456.90285714285</v>
      </c>
      <c r="K87" s="27"/>
      <c r="L87" s="27"/>
    </row>
    <row r="88" spans="1:12">
      <c r="A88" s="42"/>
      <c r="B88" s="42"/>
      <c r="C88" s="42"/>
      <c r="D88" s="106"/>
      <c r="E88" s="106"/>
      <c r="F88" s="107"/>
      <c r="G88" s="107"/>
      <c r="H88" s="107"/>
      <c r="I88" s="237"/>
      <c r="J88" s="55"/>
      <c r="K88" s="27"/>
      <c r="L88" s="27"/>
    </row>
    <row r="89" spans="1:12">
      <c r="A89" s="13">
        <v>244</v>
      </c>
      <c r="B89" s="13">
        <v>456</v>
      </c>
      <c r="C89" s="13" t="s">
        <v>226</v>
      </c>
      <c r="D89" s="104">
        <v>150000</v>
      </c>
      <c r="E89" s="104">
        <v>604.07000000000005</v>
      </c>
      <c r="F89" s="104">
        <v>75000</v>
      </c>
      <c r="G89" s="104">
        <v>5166.97</v>
      </c>
      <c r="H89" s="104">
        <v>75000</v>
      </c>
      <c r="I89" s="235">
        <f>'GENERAL EXPENDITURE'!I73</f>
        <v>34666.67</v>
      </c>
      <c r="J89" s="80">
        <f>'GENERAL EXPENDITURE'!J73</f>
        <v>65000</v>
      </c>
      <c r="K89" s="27"/>
      <c r="L89" s="27"/>
    </row>
    <row r="90" spans="1:12">
      <c r="A90" s="42"/>
      <c r="B90" s="42"/>
      <c r="C90" s="42"/>
      <c r="D90" s="107">
        <f t="shared" ref="D90:J90" si="18">D89</f>
        <v>150000</v>
      </c>
      <c r="E90" s="107">
        <f t="shared" si="18"/>
        <v>604.07000000000005</v>
      </c>
      <c r="F90" s="107">
        <f t="shared" si="18"/>
        <v>75000</v>
      </c>
      <c r="G90" s="107">
        <f t="shared" si="18"/>
        <v>5166.97</v>
      </c>
      <c r="H90" s="107">
        <f t="shared" si="18"/>
        <v>75000</v>
      </c>
      <c r="I90" s="237">
        <f t="shared" si="18"/>
        <v>34666.67</v>
      </c>
      <c r="J90" s="92">
        <f t="shared" si="18"/>
        <v>65000</v>
      </c>
      <c r="K90" s="27"/>
      <c r="L90" s="27"/>
    </row>
    <row r="91" spans="1:12">
      <c r="A91" s="42"/>
      <c r="B91" s="42"/>
      <c r="C91" s="42"/>
      <c r="D91" s="106"/>
      <c r="E91" s="106"/>
      <c r="F91" s="107"/>
      <c r="G91" s="107"/>
      <c r="H91" s="107"/>
      <c r="I91" s="237"/>
      <c r="J91" s="55"/>
      <c r="K91" s="27"/>
      <c r="L91" s="27"/>
    </row>
    <row r="92" spans="1:12">
      <c r="A92" s="13">
        <v>262</v>
      </c>
      <c r="B92" s="13">
        <v>213</v>
      </c>
      <c r="C92" s="13" t="s">
        <v>284</v>
      </c>
      <c r="D92" s="104">
        <v>60000</v>
      </c>
      <c r="E92" s="104">
        <v>0</v>
      </c>
      <c r="F92" s="104">
        <v>40000</v>
      </c>
      <c r="G92" s="104">
        <v>0</v>
      </c>
      <c r="H92" s="104">
        <v>100000</v>
      </c>
      <c r="I92" s="235">
        <f>'GENERAL EXPENDITURE'!I91</f>
        <v>0</v>
      </c>
      <c r="J92" s="80">
        <f>'GENERAL EXPENDITURE'!J91</f>
        <v>50000</v>
      </c>
      <c r="K92" s="27">
        <f>+E92/8*12</f>
        <v>0</v>
      </c>
      <c r="L92" s="27"/>
    </row>
    <row r="93" spans="1:12">
      <c r="A93" s="42"/>
      <c r="B93" s="42"/>
      <c r="C93" s="42"/>
      <c r="D93" s="107">
        <f t="shared" ref="D93:I93" si="19">D92</f>
        <v>60000</v>
      </c>
      <c r="E93" s="107">
        <f t="shared" si="19"/>
        <v>0</v>
      </c>
      <c r="F93" s="107">
        <f t="shared" si="19"/>
        <v>40000</v>
      </c>
      <c r="G93" s="107">
        <f t="shared" si="19"/>
        <v>0</v>
      </c>
      <c r="H93" s="107">
        <f t="shared" si="19"/>
        <v>100000</v>
      </c>
      <c r="I93" s="237">
        <f t="shared" si="19"/>
        <v>0</v>
      </c>
      <c r="J93" s="92">
        <f>J92</f>
        <v>50000</v>
      </c>
      <c r="K93" s="27"/>
      <c r="L93" s="27"/>
    </row>
    <row r="94" spans="1:12">
      <c r="A94" s="42"/>
      <c r="B94" s="42"/>
      <c r="C94" s="42"/>
      <c r="D94" s="106"/>
      <c r="E94" s="106"/>
      <c r="F94" s="107"/>
      <c r="G94" s="107"/>
      <c r="H94" s="107"/>
      <c r="I94" s="237"/>
      <c r="J94" s="92"/>
      <c r="K94" s="27"/>
      <c r="L94" s="27"/>
    </row>
    <row r="95" spans="1:12">
      <c r="A95" s="13">
        <v>220</v>
      </c>
      <c r="B95" s="13">
        <v>175</v>
      </c>
      <c r="C95" s="13" t="s">
        <v>71</v>
      </c>
      <c r="D95" s="104">
        <v>391108.21</v>
      </c>
      <c r="E95" s="104">
        <v>350617.47</v>
      </c>
      <c r="F95" s="104">
        <v>200000</v>
      </c>
      <c r="G95" s="104">
        <v>0</v>
      </c>
      <c r="H95" s="104">
        <v>200000</v>
      </c>
      <c r="I95" s="235">
        <f>'GENERAL EXPENDITURE'!I12</f>
        <v>0</v>
      </c>
      <c r="J95" s="80">
        <f>'GENERAL EXPENDITURE'!J12</f>
        <v>350000</v>
      </c>
      <c r="K95" s="27">
        <f>+E95/8*12</f>
        <v>525926.20499999996</v>
      </c>
    </row>
    <row r="96" spans="1:12">
      <c r="A96" s="42"/>
      <c r="B96" s="42"/>
      <c r="C96" s="42"/>
      <c r="D96" s="107">
        <f t="shared" ref="D96:I96" si="20">D95</f>
        <v>391108.21</v>
      </c>
      <c r="E96" s="107">
        <f t="shared" si="20"/>
        <v>350617.47</v>
      </c>
      <c r="F96" s="107">
        <f t="shared" si="20"/>
        <v>200000</v>
      </c>
      <c r="G96" s="107">
        <f t="shared" si="20"/>
        <v>0</v>
      </c>
      <c r="H96" s="107">
        <f t="shared" si="20"/>
        <v>200000</v>
      </c>
      <c r="I96" s="237">
        <f t="shared" si="20"/>
        <v>0</v>
      </c>
      <c r="J96" s="92">
        <f>J95</f>
        <v>350000</v>
      </c>
      <c r="K96" s="27"/>
    </row>
    <row r="97" spans="1:12">
      <c r="A97" s="42"/>
      <c r="B97" s="42"/>
      <c r="C97" s="42"/>
      <c r="D97" s="106"/>
      <c r="E97" s="106"/>
      <c r="F97" s="107"/>
      <c r="G97" s="107"/>
      <c r="H97" s="107"/>
      <c r="I97" s="237"/>
      <c r="J97" s="92"/>
      <c r="K97" s="27"/>
    </row>
    <row r="98" spans="1:12">
      <c r="A98" s="13">
        <v>220</v>
      </c>
      <c r="B98" s="13">
        <v>249</v>
      </c>
      <c r="C98" s="13" t="s">
        <v>80</v>
      </c>
      <c r="D98" s="104">
        <v>90000</v>
      </c>
      <c r="E98" s="104">
        <v>0</v>
      </c>
      <c r="F98" s="104">
        <v>0</v>
      </c>
      <c r="G98" s="104">
        <v>0</v>
      </c>
      <c r="H98" s="104">
        <f>MM!H100</f>
        <v>0</v>
      </c>
      <c r="I98" s="235">
        <f>'GENERAL EXPENDITURE'!I19</f>
        <v>0</v>
      </c>
      <c r="J98" s="80">
        <f>MM!J100</f>
        <v>0</v>
      </c>
      <c r="K98" s="165">
        <f>+E98/8*12</f>
        <v>0</v>
      </c>
    </row>
    <row r="99" spans="1:12">
      <c r="A99" s="42"/>
      <c r="B99" s="42"/>
      <c r="C99" s="42"/>
      <c r="D99" s="107">
        <f t="shared" ref="D99:I99" si="21">D98</f>
        <v>90000</v>
      </c>
      <c r="E99" s="107">
        <f t="shared" si="21"/>
        <v>0</v>
      </c>
      <c r="F99" s="107">
        <f t="shared" si="21"/>
        <v>0</v>
      </c>
      <c r="G99" s="107">
        <f t="shared" si="21"/>
        <v>0</v>
      </c>
      <c r="H99" s="107">
        <f t="shared" si="21"/>
        <v>0</v>
      </c>
      <c r="I99" s="237">
        <f t="shared" si="21"/>
        <v>0</v>
      </c>
      <c r="J99" s="92">
        <f>J98</f>
        <v>0</v>
      </c>
      <c r="K99" s="27"/>
    </row>
    <row r="100" spans="1:12">
      <c r="A100" s="42"/>
      <c r="B100" s="42"/>
      <c r="C100" s="42"/>
      <c r="D100" s="106"/>
      <c r="E100" s="106"/>
      <c r="F100" s="107"/>
      <c r="G100" s="107"/>
      <c r="H100" s="107"/>
      <c r="I100" s="237"/>
      <c r="J100" s="92"/>
      <c r="K100" s="27"/>
    </row>
    <row r="101" spans="1:12">
      <c r="A101" s="13">
        <v>230</v>
      </c>
      <c r="B101" s="13">
        <v>205</v>
      </c>
      <c r="C101" s="13" t="s">
        <v>140</v>
      </c>
      <c r="D101" s="104">
        <v>50000</v>
      </c>
      <c r="E101" s="104">
        <v>0</v>
      </c>
      <c r="F101" s="104">
        <v>0</v>
      </c>
      <c r="G101" s="104">
        <v>0</v>
      </c>
      <c r="H101" s="104">
        <v>20000</v>
      </c>
      <c r="I101" s="235">
        <f>'GENERAL EXPENDITURE'!I43</f>
        <v>0</v>
      </c>
      <c r="J101" s="80">
        <f>'GENERAL EXPENDITURE'!J43</f>
        <v>0</v>
      </c>
      <c r="K101" s="140">
        <f>+E101/8*12</f>
        <v>0</v>
      </c>
      <c r="L101" s="27"/>
    </row>
    <row r="102" spans="1:12">
      <c r="A102" s="42"/>
      <c r="B102" s="42"/>
      <c r="C102" s="42"/>
      <c r="D102" s="107">
        <f t="shared" ref="D102:I102" si="22">D101</f>
        <v>50000</v>
      </c>
      <c r="E102" s="107">
        <f t="shared" si="22"/>
        <v>0</v>
      </c>
      <c r="F102" s="107">
        <f t="shared" si="22"/>
        <v>0</v>
      </c>
      <c r="G102" s="107">
        <f t="shared" si="22"/>
        <v>0</v>
      </c>
      <c r="H102" s="107">
        <f t="shared" si="22"/>
        <v>20000</v>
      </c>
      <c r="I102" s="237">
        <f t="shared" si="22"/>
        <v>0</v>
      </c>
      <c r="J102" s="92">
        <f>J101</f>
        <v>0</v>
      </c>
      <c r="K102" s="27"/>
    </row>
    <row r="103" spans="1:12">
      <c r="A103" s="42"/>
      <c r="B103" s="42"/>
      <c r="C103" s="42"/>
      <c r="D103" s="106"/>
      <c r="E103" s="106"/>
      <c r="F103" s="107"/>
      <c r="G103" s="107"/>
      <c r="H103" s="107"/>
      <c r="I103" s="237"/>
      <c r="J103" s="55"/>
      <c r="K103" s="27"/>
    </row>
    <row r="104" spans="1:12">
      <c r="A104" s="13">
        <v>244</v>
      </c>
      <c r="B104" s="13">
        <v>180</v>
      </c>
      <c r="C104" s="13" t="s">
        <v>198</v>
      </c>
      <c r="D104" s="104">
        <v>150000</v>
      </c>
      <c r="E104" s="104">
        <v>0</v>
      </c>
      <c r="F104" s="104">
        <v>50000</v>
      </c>
      <c r="G104" s="104">
        <v>0</v>
      </c>
      <c r="H104" s="104">
        <v>50000</v>
      </c>
      <c r="I104" s="235">
        <f>'GENERAL EXPENDITURE'!I63</f>
        <v>0</v>
      </c>
      <c r="J104" s="80">
        <f>'GENERAL EXPENDITURE'!J63</f>
        <v>25000</v>
      </c>
      <c r="K104" s="27"/>
      <c r="L104" s="27"/>
    </row>
    <row r="105" spans="1:12">
      <c r="A105" s="42"/>
      <c r="B105" s="42"/>
      <c r="C105" s="42"/>
      <c r="D105" s="107">
        <f t="shared" ref="D105:I105" si="23">D104</f>
        <v>150000</v>
      </c>
      <c r="E105" s="107">
        <f t="shared" si="23"/>
        <v>0</v>
      </c>
      <c r="F105" s="107">
        <f t="shared" si="23"/>
        <v>50000</v>
      </c>
      <c r="G105" s="107">
        <f t="shared" si="23"/>
        <v>0</v>
      </c>
      <c r="H105" s="107">
        <f t="shared" si="23"/>
        <v>50000</v>
      </c>
      <c r="I105" s="237">
        <f t="shared" si="23"/>
        <v>0</v>
      </c>
      <c r="J105" s="92">
        <f>J104</f>
        <v>25000</v>
      </c>
      <c r="K105" s="27"/>
      <c r="L105" s="27"/>
    </row>
    <row r="106" spans="1:12">
      <c r="A106" s="42"/>
      <c r="B106" s="42"/>
      <c r="C106" s="42"/>
      <c r="D106" s="106"/>
      <c r="E106" s="106"/>
      <c r="F106" s="106"/>
      <c r="G106" s="106"/>
      <c r="H106" s="106"/>
      <c r="I106" s="241"/>
      <c r="J106" s="40"/>
      <c r="K106" s="27"/>
      <c r="L106" s="27"/>
    </row>
    <row r="107" spans="1:12">
      <c r="A107" s="13">
        <v>229</v>
      </c>
      <c r="B107" s="13">
        <v>198</v>
      </c>
      <c r="C107" s="13" t="s">
        <v>133</v>
      </c>
      <c r="D107" s="104">
        <v>518561.53</v>
      </c>
      <c r="E107" s="104">
        <v>178070.84</v>
      </c>
      <c r="F107" s="104">
        <f>400000-265000</f>
        <v>135000</v>
      </c>
      <c r="G107" s="104">
        <v>27461.52</v>
      </c>
      <c r="H107" s="104">
        <f>400000-265000</f>
        <v>135000</v>
      </c>
      <c r="I107" s="235">
        <f>'GENERAL EXPENDITURE'!I37</f>
        <v>27461.52</v>
      </c>
      <c r="J107" s="80">
        <f>'GENERAL EXPENDITURE'!J37</f>
        <v>300000</v>
      </c>
      <c r="K107" s="27"/>
      <c r="L107" s="27"/>
    </row>
    <row r="108" spans="1:12">
      <c r="A108" s="42"/>
      <c r="B108" s="42"/>
      <c r="C108" s="42"/>
      <c r="D108" s="107">
        <f t="shared" ref="D108:I108" si="24">D107</f>
        <v>518561.53</v>
      </c>
      <c r="E108" s="107">
        <f t="shared" si="24"/>
        <v>178070.84</v>
      </c>
      <c r="F108" s="107">
        <f t="shared" si="24"/>
        <v>135000</v>
      </c>
      <c r="G108" s="107">
        <f t="shared" si="24"/>
        <v>27461.52</v>
      </c>
      <c r="H108" s="107">
        <f t="shared" si="24"/>
        <v>135000</v>
      </c>
      <c r="I108" s="237">
        <f t="shared" si="24"/>
        <v>27461.52</v>
      </c>
      <c r="J108" s="92">
        <f>J107</f>
        <v>300000</v>
      </c>
      <c r="K108" s="27"/>
      <c r="L108" s="27"/>
    </row>
    <row r="109" spans="1:12">
      <c r="A109" s="42"/>
      <c r="B109" s="42"/>
      <c r="C109" s="42"/>
      <c r="D109" s="106"/>
      <c r="E109" s="106"/>
      <c r="F109" s="107"/>
      <c r="G109" s="107"/>
      <c r="H109" s="107"/>
      <c r="I109" s="237"/>
      <c r="J109" s="55"/>
      <c r="K109" s="27"/>
      <c r="L109" s="27"/>
    </row>
    <row r="110" spans="1:12">
      <c r="A110" s="13">
        <v>244</v>
      </c>
      <c r="B110" s="13">
        <v>172</v>
      </c>
      <c r="C110" s="13" t="s">
        <v>191</v>
      </c>
      <c r="D110" s="104">
        <v>2300000</v>
      </c>
      <c r="E110" s="104">
        <v>377615.83</v>
      </c>
      <c r="F110" s="104">
        <v>1200000</v>
      </c>
      <c r="G110" s="104">
        <v>587793.82999999996</v>
      </c>
      <c r="H110" s="104">
        <v>1200000</v>
      </c>
      <c r="I110" s="235">
        <f>'GENERAL EXPENDITURE'!I60</f>
        <v>612536.43999999994</v>
      </c>
      <c r="J110" s="80">
        <f>'GENERAL EXPENDITURE'!J60</f>
        <v>1000000</v>
      </c>
      <c r="K110" s="27">
        <v>566423.745</v>
      </c>
      <c r="L110" s="27"/>
    </row>
    <row r="111" spans="1:12">
      <c r="A111" s="42"/>
      <c r="B111" s="42"/>
      <c r="C111" s="42"/>
      <c r="D111" s="107">
        <f t="shared" ref="D111:I111" si="25">D110</f>
        <v>2300000</v>
      </c>
      <c r="E111" s="107">
        <f t="shared" si="25"/>
        <v>377615.83</v>
      </c>
      <c r="F111" s="107">
        <f t="shared" si="25"/>
        <v>1200000</v>
      </c>
      <c r="G111" s="107">
        <f t="shared" si="25"/>
        <v>587793.82999999996</v>
      </c>
      <c r="H111" s="107">
        <f t="shared" si="25"/>
        <v>1200000</v>
      </c>
      <c r="I111" s="237">
        <f t="shared" si="25"/>
        <v>612536.43999999994</v>
      </c>
      <c r="J111" s="92">
        <f>J110</f>
        <v>1000000</v>
      </c>
      <c r="K111" s="27"/>
      <c r="L111" s="27"/>
    </row>
    <row r="112" spans="1:12">
      <c r="A112" s="42"/>
      <c r="B112" s="42"/>
      <c r="C112" s="42"/>
      <c r="D112" s="106"/>
      <c r="E112" s="106"/>
      <c r="F112" s="107"/>
      <c r="G112" s="107"/>
      <c r="H112" s="107"/>
      <c r="I112" s="237"/>
      <c r="J112" s="55"/>
      <c r="K112" s="27"/>
      <c r="L112" s="27"/>
    </row>
    <row r="113" spans="1:12">
      <c r="A113" s="13">
        <v>227</v>
      </c>
      <c r="B113" s="13">
        <v>201</v>
      </c>
      <c r="C113" s="13" t="s">
        <v>119</v>
      </c>
      <c r="D113" s="104">
        <v>20000</v>
      </c>
      <c r="E113" s="104">
        <v>0</v>
      </c>
      <c r="F113" s="104">
        <v>180000</v>
      </c>
      <c r="G113" s="104">
        <v>0</v>
      </c>
      <c r="H113" s="104">
        <v>180000</v>
      </c>
      <c r="I113" s="235">
        <f>'GENERAL EXPENDITURE'!I28</f>
        <v>7000</v>
      </c>
      <c r="J113" s="80">
        <f>'GENERAL EXPENDITURE'!J28</f>
        <v>0</v>
      </c>
      <c r="K113" s="27"/>
      <c r="L113" s="27"/>
    </row>
    <row r="114" spans="1:12">
      <c r="A114" s="13">
        <v>244</v>
      </c>
      <c r="B114" s="13">
        <v>201</v>
      </c>
      <c r="C114" s="13" t="s">
        <v>40</v>
      </c>
      <c r="D114" s="104">
        <v>106000</v>
      </c>
      <c r="E114" s="104">
        <v>11450</v>
      </c>
      <c r="F114" s="104">
        <v>106000</v>
      </c>
      <c r="G114" s="104">
        <v>101095</v>
      </c>
      <c r="H114" s="104">
        <v>200000</v>
      </c>
      <c r="I114" s="235">
        <f>'GENERAL EXPENDITURE'!I68</f>
        <v>101095</v>
      </c>
      <c r="J114" s="80">
        <f>'GENERAL EXPENDITURE'!J68</f>
        <v>200000</v>
      </c>
      <c r="K114" s="27"/>
      <c r="L114" s="27"/>
    </row>
    <row r="115" spans="1:12">
      <c r="A115" s="13">
        <v>219</v>
      </c>
      <c r="B115" s="13">
        <v>201</v>
      </c>
      <c r="C115" s="13" t="s">
        <v>40</v>
      </c>
      <c r="D115" s="104">
        <v>15000</v>
      </c>
      <c r="E115" s="104">
        <v>0</v>
      </c>
      <c r="F115" s="104">
        <v>0</v>
      </c>
      <c r="G115" s="104">
        <v>0</v>
      </c>
      <c r="H115" s="104">
        <v>0</v>
      </c>
      <c r="I115" s="235">
        <f>'GENERAL EXPENDITURE'!I7</f>
        <v>0</v>
      </c>
      <c r="J115" s="80">
        <v>0</v>
      </c>
      <c r="K115" s="27"/>
      <c r="L115" s="27"/>
    </row>
    <row r="116" spans="1:12">
      <c r="A116" s="42"/>
      <c r="B116" s="42"/>
      <c r="C116" s="42"/>
      <c r="D116" s="107">
        <f>SUM(D114:D115)</f>
        <v>121000</v>
      </c>
      <c r="E116" s="107">
        <f>SUM(E114:E115)</f>
        <v>11450</v>
      </c>
      <c r="F116" s="107">
        <f>SUM(F113:F115)</f>
        <v>286000</v>
      </c>
      <c r="G116" s="107">
        <f>SUM(G114:G115)</f>
        <v>101095</v>
      </c>
      <c r="H116" s="107">
        <f>SUM(H113:H115)</f>
        <v>380000</v>
      </c>
      <c r="I116" s="237">
        <f>SUM(I113:I115)</f>
        <v>108095</v>
      </c>
      <c r="J116" s="92">
        <f>SUM(J114:J115)</f>
        <v>200000</v>
      </c>
      <c r="K116" s="27"/>
      <c r="L116" s="27"/>
    </row>
    <row r="117" spans="1:12">
      <c r="A117" s="42"/>
      <c r="B117" s="42"/>
      <c r="C117" s="42"/>
      <c r="D117" s="106"/>
      <c r="E117" s="106"/>
      <c r="F117" s="107"/>
      <c r="G117" s="107"/>
      <c r="H117" s="107"/>
      <c r="I117" s="237"/>
      <c r="J117" s="55"/>
      <c r="K117" s="27"/>
      <c r="L117" s="27"/>
    </row>
    <row r="118" spans="1:12">
      <c r="A118" s="13">
        <v>229</v>
      </c>
      <c r="B118" s="13">
        <v>175</v>
      </c>
      <c r="C118" s="13" t="s">
        <v>127</v>
      </c>
      <c r="D118" s="104">
        <v>1000</v>
      </c>
      <c r="E118" s="104">
        <v>0</v>
      </c>
      <c r="F118" s="104">
        <v>0</v>
      </c>
      <c r="G118" s="104">
        <v>0</v>
      </c>
      <c r="H118" s="104">
        <v>0</v>
      </c>
      <c r="I118" s="235">
        <f>'GENERAL EXPENDITURE'!I32</f>
        <v>0</v>
      </c>
      <c r="J118" s="80">
        <f>'GENERAL EXPENDITURE'!J32</f>
        <v>0</v>
      </c>
      <c r="K118" s="27"/>
      <c r="L118" s="27"/>
    </row>
    <row r="119" spans="1:12">
      <c r="A119" s="13">
        <v>244</v>
      </c>
      <c r="B119" s="13">
        <v>175</v>
      </c>
      <c r="C119" s="13" t="s">
        <v>195</v>
      </c>
      <c r="D119" s="104">
        <v>9200</v>
      </c>
      <c r="E119" s="104">
        <v>5296.28</v>
      </c>
      <c r="F119" s="104">
        <v>9200</v>
      </c>
      <c r="G119" s="104">
        <v>12150.82</v>
      </c>
      <c r="H119" s="104">
        <v>24000</v>
      </c>
      <c r="I119" s="235">
        <f>'GENERAL EXPENDITURE'!I61</f>
        <v>12360.03</v>
      </c>
      <c r="J119" s="80">
        <f>'GENERAL EXPENDITURE'!J61</f>
        <v>25000</v>
      </c>
      <c r="K119" s="27">
        <v>7944.42</v>
      </c>
      <c r="L119" s="27"/>
    </row>
    <row r="120" spans="1:12">
      <c r="A120" s="13">
        <v>245</v>
      </c>
      <c r="B120" s="13">
        <v>175</v>
      </c>
      <c r="C120" s="13" t="s">
        <v>195</v>
      </c>
      <c r="D120" s="104">
        <v>10000</v>
      </c>
      <c r="E120" s="104">
        <v>6081.28</v>
      </c>
      <c r="F120" s="104">
        <v>10000</v>
      </c>
      <c r="G120" s="104">
        <v>5917.01</v>
      </c>
      <c r="H120" s="104">
        <v>15000</v>
      </c>
      <c r="I120" s="235">
        <f>'GENERAL EXPENDITURE'!I79</f>
        <v>5917.01</v>
      </c>
      <c r="J120" s="80">
        <f>'GENERAL EXPENDITURE'!J79</f>
        <v>20000</v>
      </c>
      <c r="K120" s="27">
        <v>9121.92</v>
      </c>
      <c r="L120" s="27"/>
    </row>
    <row r="121" spans="1:12">
      <c r="A121" s="13">
        <v>262</v>
      </c>
      <c r="B121" s="13">
        <v>175</v>
      </c>
      <c r="C121" s="13" t="s">
        <v>195</v>
      </c>
      <c r="D121" s="104">
        <v>1500</v>
      </c>
      <c r="E121" s="104">
        <v>6328.41</v>
      </c>
      <c r="F121" s="104">
        <v>10000</v>
      </c>
      <c r="G121" s="104">
        <v>12388.68</v>
      </c>
      <c r="H121" s="104">
        <v>24000</v>
      </c>
      <c r="I121" s="235">
        <f>'GENERAL EXPENDITURE'!I89</f>
        <v>12540.8</v>
      </c>
      <c r="J121" s="80">
        <f>'GENERAL EXPENDITURE'!J89</f>
        <v>0</v>
      </c>
      <c r="K121" s="27">
        <v>9492.6149999999998</v>
      </c>
      <c r="L121" s="27"/>
    </row>
    <row r="122" spans="1:12">
      <c r="A122" s="13">
        <v>268</v>
      </c>
      <c r="B122" s="13">
        <v>175</v>
      </c>
      <c r="C122" s="13" t="s">
        <v>342</v>
      </c>
      <c r="D122" s="104">
        <v>1000</v>
      </c>
      <c r="E122" s="104">
        <v>988.69</v>
      </c>
      <c r="F122" s="104">
        <v>1483</v>
      </c>
      <c r="G122" s="104">
        <v>658.9</v>
      </c>
      <c r="H122" s="104">
        <v>1483</v>
      </c>
      <c r="I122" s="235">
        <f>'GENERAL EXPENDITURE'!I108</f>
        <v>658.9</v>
      </c>
      <c r="J122" s="80">
        <f>'GENERAL EXPENDITURE'!J108</f>
        <v>0</v>
      </c>
      <c r="K122" s="27">
        <v>1483.0350000000001</v>
      </c>
      <c r="L122" s="27"/>
    </row>
    <row r="123" spans="1:12" s="35" customFormat="1">
      <c r="A123" s="79">
        <v>274</v>
      </c>
      <c r="B123" s="79">
        <v>175</v>
      </c>
      <c r="C123" s="79" t="s">
        <v>127</v>
      </c>
      <c r="D123" s="104">
        <v>10000</v>
      </c>
      <c r="E123" s="104">
        <v>816.81</v>
      </c>
      <c r="F123" s="104">
        <v>5000</v>
      </c>
      <c r="G123" s="104">
        <v>208.86</v>
      </c>
      <c r="H123" s="104">
        <v>5000</v>
      </c>
      <c r="I123" s="235">
        <f>'GENERAL EXPENDITURE'!I124</f>
        <v>247.63</v>
      </c>
      <c r="J123" s="80">
        <f>'GENERAL EXPENDITURE'!J124</f>
        <v>1000</v>
      </c>
      <c r="K123" s="38">
        <v>1225.2149999999999</v>
      </c>
    </row>
    <row r="124" spans="1:12" s="35" customFormat="1">
      <c r="A124" s="79">
        <v>275</v>
      </c>
      <c r="B124" s="79">
        <v>175</v>
      </c>
      <c r="C124" s="79" t="s">
        <v>195</v>
      </c>
      <c r="D124" s="104">
        <v>105000</v>
      </c>
      <c r="E124" s="104">
        <v>34872.370000000003</v>
      </c>
      <c r="F124" s="104">
        <v>50000</v>
      </c>
      <c r="G124" s="104">
        <v>59352.88</v>
      </c>
      <c r="H124" s="104">
        <v>100000</v>
      </c>
      <c r="I124" s="235">
        <f>'GENERAL EXPENDITURE'!I141</f>
        <v>59352.88</v>
      </c>
      <c r="J124" s="80">
        <f>'GENERAL EXPENDITURE'!J141</f>
        <v>120000</v>
      </c>
      <c r="K124" s="38">
        <v>52308.555000000008</v>
      </c>
    </row>
    <row r="125" spans="1:12">
      <c r="A125" s="13">
        <v>281</v>
      </c>
      <c r="B125" s="13">
        <v>175</v>
      </c>
      <c r="C125" s="13" t="s">
        <v>195</v>
      </c>
      <c r="D125" s="104">
        <v>300000</v>
      </c>
      <c r="E125" s="104">
        <v>225751.57</v>
      </c>
      <c r="F125" s="104">
        <v>250000</v>
      </c>
      <c r="G125" s="104">
        <v>174321.06</v>
      </c>
      <c r="H125" s="104">
        <v>348000</v>
      </c>
      <c r="I125" s="235">
        <f>'GENERAL EXPENDITURE'!I151</f>
        <v>176680.62</v>
      </c>
      <c r="J125" s="80">
        <f>'GENERAL EXPENDITURE'!J151</f>
        <v>310000</v>
      </c>
      <c r="K125" s="27"/>
      <c r="L125" s="27"/>
    </row>
    <row r="126" spans="1:12">
      <c r="A126" s="13">
        <v>281</v>
      </c>
      <c r="B126" s="13">
        <v>196</v>
      </c>
      <c r="C126" s="13" t="s">
        <v>512</v>
      </c>
      <c r="D126" s="104">
        <v>10000</v>
      </c>
      <c r="E126" s="104">
        <v>0</v>
      </c>
      <c r="F126" s="104">
        <v>10000</v>
      </c>
      <c r="G126" s="104">
        <v>0</v>
      </c>
      <c r="H126" s="104">
        <v>10000</v>
      </c>
      <c r="I126" s="235">
        <f>'GENERAL EXPENDITURE'!I155</f>
        <v>0</v>
      </c>
      <c r="J126" s="80">
        <f>'GENERAL EXPENDITURE'!J155</f>
        <v>0</v>
      </c>
      <c r="K126" s="27"/>
      <c r="L126" s="27"/>
    </row>
    <row r="127" spans="1:12" s="35" customFormat="1">
      <c r="A127" s="79">
        <v>290</v>
      </c>
      <c r="B127" s="79">
        <v>175</v>
      </c>
      <c r="C127" s="79" t="s">
        <v>127</v>
      </c>
      <c r="D127" s="104">
        <v>66109.75</v>
      </c>
      <c r="E127" s="104">
        <v>17551.689999999999</v>
      </c>
      <c r="F127" s="104">
        <v>30000</v>
      </c>
      <c r="G127" s="104">
        <v>23528.75</v>
      </c>
      <c r="H127" s="104">
        <v>50000</v>
      </c>
      <c r="I127" s="235">
        <f>'GENERAL EXPENDITURE'!I161</f>
        <v>24122</v>
      </c>
      <c r="J127" s="80">
        <f>'GENERAL EXPENDITURE'!J161</f>
        <v>50000</v>
      </c>
      <c r="K127" s="38">
        <v>26327.534999999996</v>
      </c>
    </row>
    <row r="128" spans="1:12" s="35" customFormat="1">
      <c r="A128" s="79">
        <v>291</v>
      </c>
      <c r="B128" s="79">
        <v>175</v>
      </c>
      <c r="C128" s="79" t="s">
        <v>195</v>
      </c>
      <c r="D128" s="104">
        <v>5000</v>
      </c>
      <c r="E128" s="104">
        <v>9768.07</v>
      </c>
      <c r="F128" s="104">
        <v>15000</v>
      </c>
      <c r="G128" s="104">
        <v>2036.23</v>
      </c>
      <c r="H128" s="104">
        <v>15000</v>
      </c>
      <c r="I128" s="235">
        <f>'GENERAL EXPENDITURE'!I174</f>
        <v>13856.3</v>
      </c>
      <c r="J128" s="80">
        <f>'GENERAL EXPENDITURE'!J174</f>
        <v>20000</v>
      </c>
      <c r="K128" s="38">
        <v>14652.105</v>
      </c>
    </row>
    <row r="129" spans="1:12" s="35" customFormat="1">
      <c r="A129" s="79">
        <v>293</v>
      </c>
      <c r="B129" s="79">
        <v>175</v>
      </c>
      <c r="C129" s="79" t="s">
        <v>195</v>
      </c>
      <c r="D129" s="104">
        <v>512000</v>
      </c>
      <c r="E129" s="104">
        <v>125249.48</v>
      </c>
      <c r="F129" s="104">
        <v>200000</v>
      </c>
      <c r="G129" s="104">
        <v>220640.16</v>
      </c>
      <c r="H129" s="104">
        <v>300000</v>
      </c>
      <c r="I129" s="235">
        <f>'GENERAL EXPENDITURE'!I185</f>
        <v>227832.15</v>
      </c>
      <c r="J129" s="80">
        <f>'GENERAL EXPENDITURE'!J185</f>
        <v>300000</v>
      </c>
      <c r="K129" s="38">
        <v>187874.22</v>
      </c>
    </row>
    <row r="130" spans="1:12">
      <c r="A130" s="42"/>
      <c r="B130" s="42"/>
      <c r="C130" s="42"/>
      <c r="D130" s="107">
        <f t="shared" ref="D130:J130" si="26">SUM(D118:D129)</f>
        <v>1030809.75</v>
      </c>
      <c r="E130" s="107">
        <f t="shared" si="26"/>
        <v>432704.65</v>
      </c>
      <c r="F130" s="107">
        <f t="shared" si="26"/>
        <v>590683</v>
      </c>
      <c r="G130" s="107">
        <f t="shared" si="26"/>
        <v>511203.35</v>
      </c>
      <c r="H130" s="107">
        <f t="shared" si="26"/>
        <v>892483</v>
      </c>
      <c r="I130" s="237">
        <f t="shared" si="26"/>
        <v>533568.31999999995</v>
      </c>
      <c r="J130" s="92">
        <f t="shared" si="26"/>
        <v>846000</v>
      </c>
      <c r="K130" s="27"/>
      <c r="L130" s="27"/>
    </row>
    <row r="131" spans="1:12">
      <c r="A131" s="42"/>
      <c r="B131" s="42"/>
      <c r="C131" s="42"/>
      <c r="D131" s="106"/>
      <c r="E131" s="106"/>
      <c r="F131" s="107"/>
      <c r="G131" s="107"/>
      <c r="H131" s="107"/>
      <c r="I131" s="237"/>
      <c r="J131" s="92"/>
      <c r="K131" s="27"/>
      <c r="L131" s="27"/>
    </row>
    <row r="132" spans="1:12">
      <c r="A132" s="13">
        <v>268</v>
      </c>
      <c r="B132" s="13">
        <v>254</v>
      </c>
      <c r="C132" s="13" t="s">
        <v>349</v>
      </c>
      <c r="D132" s="104">
        <v>500000</v>
      </c>
      <c r="E132" s="104">
        <v>43200</v>
      </c>
      <c r="F132" s="104">
        <v>0</v>
      </c>
      <c r="G132" s="104">
        <v>535304</v>
      </c>
      <c r="H132" s="104">
        <v>750000</v>
      </c>
      <c r="I132" s="235">
        <f>'GENERAL EXPENDITURE'!I113</f>
        <v>535304</v>
      </c>
      <c r="J132" s="80">
        <f>'GENERAL EXPENDITURE'!J113</f>
        <v>1026357.01</v>
      </c>
      <c r="K132" s="27"/>
      <c r="L132" s="27"/>
    </row>
    <row r="133" spans="1:12">
      <c r="A133" s="42"/>
      <c r="B133" s="42"/>
      <c r="C133" s="42"/>
      <c r="D133" s="107">
        <f t="shared" ref="D133:J133" si="27">D132</f>
        <v>500000</v>
      </c>
      <c r="E133" s="107">
        <f t="shared" si="27"/>
        <v>43200</v>
      </c>
      <c r="F133" s="107">
        <f t="shared" si="27"/>
        <v>0</v>
      </c>
      <c r="G133" s="107">
        <f t="shared" si="27"/>
        <v>535304</v>
      </c>
      <c r="H133" s="107">
        <f t="shared" si="27"/>
        <v>750000</v>
      </c>
      <c r="I133" s="237">
        <f t="shared" si="27"/>
        <v>535304</v>
      </c>
      <c r="J133" s="92">
        <f t="shared" si="27"/>
        <v>1026357.01</v>
      </c>
      <c r="K133" s="27"/>
      <c r="L133" s="27"/>
    </row>
    <row r="134" spans="1:12">
      <c r="A134" s="42"/>
      <c r="B134" s="42"/>
      <c r="C134" s="42"/>
      <c r="D134" s="106"/>
      <c r="E134" s="106"/>
      <c r="F134" s="106"/>
      <c r="G134" s="106"/>
      <c r="H134" s="106"/>
      <c r="I134" s="241"/>
      <c r="J134" s="40"/>
      <c r="K134" s="27"/>
      <c r="L134" s="27"/>
    </row>
    <row r="135" spans="1:12">
      <c r="A135" s="13">
        <v>220</v>
      </c>
      <c r="B135" s="13">
        <v>171</v>
      </c>
      <c r="C135" s="13" t="s">
        <v>69</v>
      </c>
      <c r="D135" s="104">
        <v>780000</v>
      </c>
      <c r="E135" s="104">
        <v>546950</v>
      </c>
      <c r="F135" s="104">
        <v>750000</v>
      </c>
      <c r="G135" s="104">
        <v>12500</v>
      </c>
      <c r="H135" s="104">
        <v>300000</v>
      </c>
      <c r="I135" s="235">
        <f>'GENERAL EXPENDITURE'!I11</f>
        <v>12500</v>
      </c>
      <c r="J135" s="80">
        <f>'GENERAL EXPENDITURE'!J11</f>
        <v>400000</v>
      </c>
      <c r="K135" s="27">
        <f>+E135/8*12</f>
        <v>820425</v>
      </c>
    </row>
    <row r="136" spans="1:12">
      <c r="A136" s="42"/>
      <c r="B136" s="42"/>
      <c r="C136" s="42"/>
      <c r="D136" s="107">
        <f t="shared" ref="D136:I136" si="28">D135</f>
        <v>780000</v>
      </c>
      <c r="E136" s="107">
        <f t="shared" si="28"/>
        <v>546950</v>
      </c>
      <c r="F136" s="107">
        <f t="shared" si="28"/>
        <v>750000</v>
      </c>
      <c r="G136" s="107">
        <f t="shared" si="28"/>
        <v>12500</v>
      </c>
      <c r="H136" s="107">
        <f t="shared" si="28"/>
        <v>300000</v>
      </c>
      <c r="I136" s="237">
        <f t="shared" si="28"/>
        <v>12500</v>
      </c>
      <c r="J136" s="92">
        <f>J135</f>
        <v>400000</v>
      </c>
      <c r="K136" s="27"/>
    </row>
    <row r="137" spans="1:12">
      <c r="A137" s="42"/>
      <c r="B137" s="42"/>
      <c r="C137" s="42"/>
      <c r="D137" s="106"/>
      <c r="E137" s="106"/>
      <c r="F137" s="107"/>
      <c r="G137" s="107"/>
      <c r="H137" s="107"/>
      <c r="I137" s="237"/>
      <c r="J137" s="92"/>
      <c r="K137" s="27"/>
    </row>
    <row r="138" spans="1:12">
      <c r="A138" s="79">
        <v>274</v>
      </c>
      <c r="B138" s="79">
        <v>246</v>
      </c>
      <c r="C138" s="79" t="s">
        <v>412</v>
      </c>
      <c r="D138" s="104">
        <v>300000</v>
      </c>
      <c r="E138" s="104">
        <v>150471.99</v>
      </c>
      <c r="F138" s="104">
        <v>0</v>
      </c>
      <c r="G138" s="104">
        <v>99935.95</v>
      </c>
      <c r="H138" s="104">
        <v>200000</v>
      </c>
      <c r="I138" s="235">
        <f>'GENERAL EXPENDITURE'!I134</f>
        <v>99935.95</v>
      </c>
      <c r="J138" s="84">
        <f>'GENERAL EXPENDITURE'!J134</f>
        <v>172000</v>
      </c>
      <c r="K138" s="27"/>
    </row>
    <row r="139" spans="1:12">
      <c r="A139" s="42"/>
      <c r="B139" s="42"/>
      <c r="C139" s="42"/>
      <c r="D139" s="107">
        <f t="shared" ref="D139:I139" si="29">D138</f>
        <v>300000</v>
      </c>
      <c r="E139" s="107">
        <f t="shared" si="29"/>
        <v>150471.99</v>
      </c>
      <c r="F139" s="107">
        <f t="shared" si="29"/>
        <v>0</v>
      </c>
      <c r="G139" s="107">
        <f t="shared" si="29"/>
        <v>99935.95</v>
      </c>
      <c r="H139" s="107">
        <f t="shared" si="29"/>
        <v>200000</v>
      </c>
      <c r="I139" s="237">
        <f t="shared" si="29"/>
        <v>99935.95</v>
      </c>
      <c r="J139" s="92">
        <f>J138</f>
        <v>172000</v>
      </c>
      <c r="K139" s="27"/>
    </row>
    <row r="140" spans="1:12">
      <c r="A140" s="42"/>
      <c r="B140" s="42"/>
      <c r="C140" s="42"/>
      <c r="D140" s="106"/>
      <c r="E140" s="106"/>
      <c r="F140" s="106"/>
      <c r="G140" s="106"/>
      <c r="H140" s="106"/>
      <c r="I140" s="241"/>
      <c r="J140" s="40"/>
      <c r="K140" s="27"/>
    </row>
    <row r="141" spans="1:12">
      <c r="A141" s="13">
        <v>268</v>
      </c>
      <c r="B141" s="13">
        <v>461</v>
      </c>
      <c r="C141" s="13" t="s">
        <v>357</v>
      </c>
      <c r="D141" s="104">
        <v>40000</v>
      </c>
      <c r="E141" s="104">
        <v>2470</v>
      </c>
      <c r="F141" s="104">
        <v>305000</v>
      </c>
      <c r="G141" s="104">
        <v>75642.39</v>
      </c>
      <c r="H141" s="104">
        <v>250000</v>
      </c>
      <c r="I141" s="235">
        <f>'GENERAL EXPENDITURE'!I116</f>
        <v>105642.39</v>
      </c>
      <c r="J141" s="80">
        <f>'GENERAL EXPENDITURE'!J116</f>
        <v>0</v>
      </c>
      <c r="K141" s="27">
        <v>3705</v>
      </c>
      <c r="L141" s="27"/>
    </row>
    <row r="142" spans="1:12" s="48" customFormat="1">
      <c r="A142" s="97"/>
      <c r="B142" s="97">
        <v>456</v>
      </c>
      <c r="C142" s="97" t="s">
        <v>226</v>
      </c>
      <c r="D142" s="98">
        <v>0</v>
      </c>
      <c r="E142" s="98">
        <v>76326.59</v>
      </c>
      <c r="F142" s="98">
        <v>0</v>
      </c>
      <c r="G142" s="98">
        <v>104313.15</v>
      </c>
      <c r="H142" s="98">
        <v>0</v>
      </c>
      <c r="I142" s="98">
        <v>0</v>
      </c>
      <c r="J142" s="98">
        <f>FINANCE!J58</f>
        <v>500000</v>
      </c>
      <c r="K142" s="355"/>
      <c r="L142" s="355"/>
    </row>
    <row r="143" spans="1:12" s="35" customFormat="1">
      <c r="A143" s="79">
        <v>290</v>
      </c>
      <c r="B143" s="79">
        <v>461</v>
      </c>
      <c r="C143" s="79" t="s">
        <v>484</v>
      </c>
      <c r="D143" s="104">
        <v>250000</v>
      </c>
      <c r="E143" s="104">
        <v>33375.9</v>
      </c>
      <c r="F143" s="104">
        <v>250000</v>
      </c>
      <c r="G143" s="104">
        <v>1600757</v>
      </c>
      <c r="H143" s="104">
        <v>250000</v>
      </c>
      <c r="I143" s="235">
        <f>'GENERAL EXPENDITURE'!I168</f>
        <v>1600757</v>
      </c>
      <c r="J143" s="84">
        <f>'GENERAL EXPENDITURE'!J168</f>
        <v>250000</v>
      </c>
      <c r="K143" s="38"/>
    </row>
    <row r="144" spans="1:12" s="35" customFormat="1">
      <c r="A144" s="79">
        <v>291</v>
      </c>
      <c r="B144" s="79">
        <v>461</v>
      </c>
      <c r="C144" s="79" t="s">
        <v>484</v>
      </c>
      <c r="D144" s="104">
        <v>600000</v>
      </c>
      <c r="E144" s="104">
        <v>183681.54</v>
      </c>
      <c r="F144" s="104">
        <v>800000</v>
      </c>
      <c r="G144" s="104">
        <v>231000</v>
      </c>
      <c r="H144" s="104">
        <v>800000</v>
      </c>
      <c r="I144" s="235">
        <f>'GENERAL EXPENDITURE'!I179</f>
        <v>231000</v>
      </c>
      <c r="J144" s="84">
        <f>'GENERAL EXPENDITURE'!J179</f>
        <v>400000</v>
      </c>
      <c r="K144" s="38">
        <v>275522.31</v>
      </c>
    </row>
    <row r="145" spans="1:12" s="35" customFormat="1">
      <c r="A145" s="79">
        <v>293</v>
      </c>
      <c r="B145" s="79">
        <v>461</v>
      </c>
      <c r="C145" s="79" t="s">
        <v>484</v>
      </c>
      <c r="D145" s="104">
        <v>1000000</v>
      </c>
      <c r="E145" s="104">
        <v>328743.34000000003</v>
      </c>
      <c r="F145" s="104">
        <v>300000</v>
      </c>
      <c r="G145" s="104">
        <v>120202.5</v>
      </c>
      <c r="H145" s="104">
        <v>300000</v>
      </c>
      <c r="I145" s="235">
        <f>'GENERAL EXPENDITURE'!I197</f>
        <v>120202.5</v>
      </c>
      <c r="J145" s="84">
        <f>'GENERAL EXPENDITURE'!J197</f>
        <v>300000</v>
      </c>
      <c r="K145" s="38"/>
    </row>
    <row r="146" spans="1:12" s="35" customFormat="1">
      <c r="A146" s="90"/>
      <c r="B146" s="90"/>
      <c r="C146" s="90"/>
      <c r="D146" s="107">
        <f t="shared" ref="D146:I146" si="30">SUM(D141:D145)</f>
        <v>1890000</v>
      </c>
      <c r="E146" s="107">
        <f t="shared" si="30"/>
        <v>624597.37000000011</v>
      </c>
      <c r="F146" s="107">
        <f t="shared" si="30"/>
        <v>1655000</v>
      </c>
      <c r="G146" s="107">
        <f t="shared" si="30"/>
        <v>2131915.04</v>
      </c>
      <c r="H146" s="107">
        <f t="shared" si="30"/>
        <v>1600000</v>
      </c>
      <c r="I146" s="237">
        <f t="shared" si="30"/>
        <v>2057601.89</v>
      </c>
      <c r="J146" s="92">
        <f>SUM(J141:J145)</f>
        <v>1450000</v>
      </c>
      <c r="K146" s="38"/>
    </row>
    <row r="147" spans="1:12" s="35" customFormat="1">
      <c r="A147" s="90"/>
      <c r="B147" s="90"/>
      <c r="C147" s="90"/>
      <c r="D147" s="106"/>
      <c r="E147" s="106"/>
      <c r="F147" s="106"/>
      <c r="G147" s="106"/>
      <c r="H147" s="106"/>
      <c r="I147" s="241"/>
      <c r="J147" s="91"/>
      <c r="K147" s="38"/>
    </row>
    <row r="148" spans="1:12">
      <c r="A148" s="13">
        <v>244</v>
      </c>
      <c r="B148" s="13">
        <v>191</v>
      </c>
      <c r="C148" s="13" t="s">
        <v>201</v>
      </c>
      <c r="D148" s="104">
        <v>6000</v>
      </c>
      <c r="E148" s="104">
        <v>1408</v>
      </c>
      <c r="F148" s="104">
        <v>4000</v>
      </c>
      <c r="G148" s="104">
        <v>9210.5300000000007</v>
      </c>
      <c r="H148" s="104">
        <v>17000</v>
      </c>
      <c r="I148" s="235">
        <f>'GENERAL EXPENDITURE'!I65</f>
        <v>10859.65</v>
      </c>
      <c r="J148" s="80">
        <f>'GENERAL EXPENDITURE'!J65</f>
        <v>20000</v>
      </c>
      <c r="K148" s="27">
        <v>2112</v>
      </c>
      <c r="L148" s="27"/>
    </row>
    <row r="149" spans="1:12" s="35" customFormat="1">
      <c r="A149" s="79">
        <v>274</v>
      </c>
      <c r="B149" s="79">
        <v>191</v>
      </c>
      <c r="C149" s="79" t="s">
        <v>201</v>
      </c>
      <c r="D149" s="104">
        <v>10000</v>
      </c>
      <c r="E149" s="104">
        <v>0</v>
      </c>
      <c r="F149" s="104">
        <v>10000</v>
      </c>
      <c r="G149" s="104">
        <v>152448.42000000001</v>
      </c>
      <c r="H149" s="104">
        <v>300000</v>
      </c>
      <c r="I149" s="235">
        <f>'GENERAL EXPENDITURE'!I126</f>
        <v>152448.42000000001</v>
      </c>
      <c r="J149" s="84">
        <f>'GENERAL EXPENDITURE'!J126</f>
        <v>500000</v>
      </c>
      <c r="K149" s="38">
        <v>0</v>
      </c>
    </row>
    <row r="150" spans="1:12">
      <c r="A150" s="42"/>
      <c r="B150" s="42"/>
      <c r="C150" s="42"/>
      <c r="D150" s="107">
        <f t="shared" ref="D150:J150" si="31">SUM(D148:D149)</f>
        <v>16000</v>
      </c>
      <c r="E150" s="107">
        <f t="shared" si="31"/>
        <v>1408</v>
      </c>
      <c r="F150" s="107">
        <f t="shared" si="31"/>
        <v>14000</v>
      </c>
      <c r="G150" s="107">
        <f t="shared" si="31"/>
        <v>161658.95000000001</v>
      </c>
      <c r="H150" s="107">
        <f t="shared" si="31"/>
        <v>317000</v>
      </c>
      <c r="I150" s="237">
        <f t="shared" si="31"/>
        <v>163308.07</v>
      </c>
      <c r="J150" s="92">
        <f t="shared" si="31"/>
        <v>520000</v>
      </c>
      <c r="K150" s="27"/>
      <c r="L150" s="27"/>
    </row>
    <row r="151" spans="1:12">
      <c r="A151" s="42"/>
      <c r="B151" s="42"/>
      <c r="C151" s="42"/>
      <c r="D151" s="106"/>
      <c r="E151" s="106"/>
      <c r="F151" s="106"/>
      <c r="G151" s="106"/>
      <c r="H151" s="106"/>
      <c r="I151" s="241"/>
      <c r="J151" s="40"/>
      <c r="K151" s="27"/>
      <c r="L151" s="27"/>
    </row>
    <row r="152" spans="1:12">
      <c r="A152" s="13">
        <v>219</v>
      </c>
      <c r="B152" s="13">
        <v>193</v>
      </c>
      <c r="C152" s="13" t="s">
        <v>36</v>
      </c>
      <c r="D152" s="104">
        <v>150000</v>
      </c>
      <c r="E152" s="104">
        <v>0</v>
      </c>
      <c r="F152" s="104">
        <v>650000</v>
      </c>
      <c r="G152" s="104">
        <v>326000</v>
      </c>
      <c r="H152" s="104">
        <v>650000</v>
      </c>
      <c r="I152" s="235">
        <f>'GENERAL EXPENDITURE'!I5</f>
        <v>326000</v>
      </c>
      <c r="J152" s="80">
        <f>'GENERAL EXPENDITURE'!J5</f>
        <v>0</v>
      </c>
      <c r="K152" s="27"/>
      <c r="L152" s="27"/>
    </row>
    <row r="153" spans="1:12">
      <c r="A153" s="13">
        <v>220</v>
      </c>
      <c r="B153" s="13">
        <v>193</v>
      </c>
      <c r="C153" s="13" t="s">
        <v>36</v>
      </c>
      <c r="D153" s="104">
        <v>2000000</v>
      </c>
      <c r="E153" s="104">
        <v>930770.53</v>
      </c>
      <c r="F153" s="104">
        <v>1400000</v>
      </c>
      <c r="G153" s="104">
        <v>1491228.06</v>
      </c>
      <c r="H153" s="104">
        <v>2000000</v>
      </c>
      <c r="I153" s="235">
        <f>'GENERAL EXPENDITURE'!I16</f>
        <v>1491228.06</v>
      </c>
      <c r="J153" s="80">
        <f>'GENERAL EXPENDITURE'!J16</f>
        <v>2600000</v>
      </c>
      <c r="K153" s="27">
        <v>1396155.7949999999</v>
      </c>
    </row>
    <row r="154" spans="1:12">
      <c r="A154" s="13">
        <v>229</v>
      </c>
      <c r="B154" s="13">
        <v>193</v>
      </c>
      <c r="C154" s="13" t="s">
        <v>36</v>
      </c>
      <c r="D154" s="104">
        <v>0</v>
      </c>
      <c r="E154" s="104">
        <v>3300</v>
      </c>
      <c r="F154" s="104">
        <v>0</v>
      </c>
      <c r="G154" s="104">
        <v>0</v>
      </c>
      <c r="H154" s="104">
        <v>0</v>
      </c>
      <c r="I154" s="235">
        <f>'GENERAL EXPENDITURE'!I35</f>
        <v>0</v>
      </c>
      <c r="J154" s="80">
        <f>'GENERAL EXPENDITURE'!J35</f>
        <v>0</v>
      </c>
      <c r="K154" s="27"/>
      <c r="L154" s="27"/>
    </row>
    <row r="155" spans="1:12">
      <c r="A155" s="13">
        <v>244</v>
      </c>
      <c r="B155" s="13">
        <v>193</v>
      </c>
      <c r="C155" s="13" t="s">
        <v>36</v>
      </c>
      <c r="D155" s="104">
        <v>2300000</v>
      </c>
      <c r="E155" s="104">
        <v>642370.92000000004</v>
      </c>
      <c r="F155" s="104">
        <v>1500000</v>
      </c>
      <c r="G155" s="104">
        <v>8002.2</v>
      </c>
      <c r="H155" s="104">
        <v>1000000</v>
      </c>
      <c r="I155" s="235">
        <f>'GENERAL EXPENDITURE'!I66</f>
        <v>8002.2</v>
      </c>
      <c r="J155" s="80">
        <f>'GENERAL EXPENDITURE'!J66</f>
        <v>0</v>
      </c>
      <c r="K155" s="27">
        <v>963556.38000000012</v>
      </c>
      <c r="L155" s="27"/>
    </row>
    <row r="156" spans="1:12">
      <c r="A156" s="13">
        <v>245</v>
      </c>
      <c r="B156" s="13">
        <v>193</v>
      </c>
      <c r="C156" s="13" t="s">
        <v>255</v>
      </c>
      <c r="D156" s="104">
        <v>105597.63</v>
      </c>
      <c r="E156" s="104">
        <v>50000</v>
      </c>
      <c r="F156" s="104">
        <v>150000</v>
      </c>
      <c r="G156" s="104">
        <v>0</v>
      </c>
      <c r="H156" s="104">
        <v>0</v>
      </c>
      <c r="I156" s="235">
        <f>'GENERAL EXPENDITURE'!I81</f>
        <v>0</v>
      </c>
      <c r="J156" s="80">
        <f>'GENERAL EXPENDITURE'!J81</f>
        <v>861490.78</v>
      </c>
      <c r="K156" s="27">
        <v>75000</v>
      </c>
      <c r="L156" s="27"/>
    </row>
    <row r="157" spans="1:12" s="35" customFormat="1">
      <c r="A157" s="79">
        <v>274</v>
      </c>
      <c r="B157" s="79">
        <v>193</v>
      </c>
      <c r="C157" s="79" t="s">
        <v>36</v>
      </c>
      <c r="D157" s="104">
        <v>4540000</v>
      </c>
      <c r="E157" s="104">
        <v>2344655.96</v>
      </c>
      <c r="F157" s="104">
        <v>0</v>
      </c>
      <c r="G157" s="104">
        <v>626429.57999999996</v>
      </c>
      <c r="H157" s="104">
        <v>1000000</v>
      </c>
      <c r="I157" s="235">
        <f>'GENERAL EXPENDITURE'!I127</f>
        <v>729006.07</v>
      </c>
      <c r="J157" s="84">
        <f>'GENERAL EXPENDITURE'!J127</f>
        <v>800000</v>
      </c>
      <c r="K157" s="38">
        <v>3516983.94</v>
      </c>
    </row>
    <row r="158" spans="1:12" s="35" customFormat="1">
      <c r="A158" s="79">
        <v>275</v>
      </c>
      <c r="B158" s="79">
        <v>193</v>
      </c>
      <c r="C158" s="79" t="s">
        <v>255</v>
      </c>
      <c r="D158" s="104">
        <v>1502713</v>
      </c>
      <c r="E158" s="104">
        <v>12471.45</v>
      </c>
      <c r="F158" s="104">
        <v>100000</v>
      </c>
      <c r="G158" s="104">
        <v>0</v>
      </c>
      <c r="H158" s="104">
        <v>100000</v>
      </c>
      <c r="I158" s="235">
        <f>'GENERAL EXPENDITURE'!I142</f>
        <v>0</v>
      </c>
      <c r="J158" s="84">
        <f>'GENERAL EXPENDITURE'!J142</f>
        <v>100000</v>
      </c>
      <c r="K158" s="38">
        <v>18707.175000000003</v>
      </c>
    </row>
    <row r="159" spans="1:12" s="1" customFormat="1">
      <c r="A159" s="17">
        <v>281</v>
      </c>
      <c r="B159" s="17">
        <v>193</v>
      </c>
      <c r="C159" s="17" t="s">
        <v>938</v>
      </c>
      <c r="D159" s="110"/>
      <c r="E159" s="110"/>
      <c r="F159" s="110">
        <v>80000</v>
      </c>
      <c r="G159" s="110">
        <v>472587.51</v>
      </c>
      <c r="H159" s="110">
        <v>500000</v>
      </c>
      <c r="I159" s="235">
        <f>'GENERAL EXPENDITURE'!I153</f>
        <v>472587.51</v>
      </c>
      <c r="J159" s="31">
        <f>'GENERAL EXPENDITURE'!J153</f>
        <v>356331.61</v>
      </c>
      <c r="K159" s="44"/>
      <c r="L159" s="44"/>
    </row>
    <row r="160" spans="1:12" s="35" customFormat="1">
      <c r="A160" s="79">
        <v>290</v>
      </c>
      <c r="B160" s="79">
        <v>193</v>
      </c>
      <c r="C160" s="79" t="s">
        <v>255</v>
      </c>
      <c r="D160" s="104">
        <v>158000</v>
      </c>
      <c r="E160" s="104">
        <v>10000</v>
      </c>
      <c r="F160" s="104">
        <v>500000</v>
      </c>
      <c r="G160" s="104">
        <v>0</v>
      </c>
      <c r="H160" s="104">
        <v>800000</v>
      </c>
      <c r="I160" s="235">
        <f>'GENERAL EXPENDITURE'!I162</f>
        <v>0</v>
      </c>
      <c r="J160" s="84">
        <f>'GENERAL EXPENDITURE'!J162</f>
        <v>0</v>
      </c>
      <c r="K160" s="38">
        <v>15000</v>
      </c>
    </row>
    <row r="161" spans="1:12" s="35" customFormat="1">
      <c r="A161" s="79">
        <v>293</v>
      </c>
      <c r="B161" s="79">
        <v>193</v>
      </c>
      <c r="C161" s="79" t="s">
        <v>36</v>
      </c>
      <c r="D161" s="104">
        <v>500000</v>
      </c>
      <c r="E161" s="104">
        <v>127945.06</v>
      </c>
      <c r="F161" s="104">
        <v>800000</v>
      </c>
      <c r="G161" s="104">
        <v>209182.96</v>
      </c>
      <c r="H161" s="104">
        <v>800000</v>
      </c>
      <c r="I161" s="235">
        <f>'GENERAL EXPENDITURE'!I187</f>
        <v>209182.96</v>
      </c>
      <c r="J161" s="84">
        <f>'GENERAL EXPENDITURE'!J187</f>
        <v>400000</v>
      </c>
      <c r="K161" s="38">
        <v>191917.59</v>
      </c>
    </row>
    <row r="162" spans="1:12">
      <c r="A162" s="42"/>
      <c r="B162" s="42"/>
      <c r="C162" s="42"/>
      <c r="D162" s="107">
        <f t="shared" ref="D162:J162" si="32">SUM(D152:D161)</f>
        <v>11256310.629999999</v>
      </c>
      <c r="E162" s="107">
        <f t="shared" si="32"/>
        <v>4121513.9200000004</v>
      </c>
      <c r="F162" s="107">
        <f t="shared" si="32"/>
        <v>5180000</v>
      </c>
      <c r="G162" s="107">
        <f t="shared" si="32"/>
        <v>3133430.3099999996</v>
      </c>
      <c r="H162" s="107">
        <f t="shared" si="32"/>
        <v>6850000</v>
      </c>
      <c r="I162" s="237">
        <f t="shared" si="32"/>
        <v>3236006.8</v>
      </c>
      <c r="J162" s="92">
        <f t="shared" si="32"/>
        <v>5117822.3900000006</v>
      </c>
      <c r="K162" s="27"/>
      <c r="L162" s="27"/>
    </row>
    <row r="163" spans="1:12">
      <c r="A163" s="42"/>
      <c r="B163" s="42"/>
      <c r="C163" s="42"/>
      <c r="D163" s="106"/>
      <c r="E163" s="106"/>
      <c r="F163" s="106"/>
      <c r="G163" s="106"/>
      <c r="H163" s="106"/>
      <c r="I163" s="241"/>
      <c r="J163" s="40"/>
      <c r="K163" s="27"/>
      <c r="L163" s="27"/>
    </row>
    <row r="164" spans="1:12">
      <c r="A164" s="13">
        <v>220</v>
      </c>
      <c r="B164" s="13">
        <v>183</v>
      </c>
      <c r="C164" s="13" t="s">
        <v>75</v>
      </c>
      <c r="D164" s="104">
        <v>100000</v>
      </c>
      <c r="E164" s="104">
        <v>36000</v>
      </c>
      <c r="F164" s="104">
        <v>70000</v>
      </c>
      <c r="G164" s="104">
        <v>11170</v>
      </c>
      <c r="H164" s="104">
        <v>60000</v>
      </c>
      <c r="I164" s="235">
        <f>'GENERAL EXPENDITURE'!I15</f>
        <v>11170</v>
      </c>
      <c r="J164" s="80">
        <f>'GENERAL EXPENDITURE'!J15</f>
        <v>19148.571428571428</v>
      </c>
      <c r="K164" s="27">
        <v>54000</v>
      </c>
    </row>
    <row r="165" spans="1:12">
      <c r="A165" s="13">
        <v>229</v>
      </c>
      <c r="B165" s="13">
        <v>183</v>
      </c>
      <c r="C165" s="13" t="s">
        <v>130</v>
      </c>
      <c r="D165" s="104">
        <v>60000</v>
      </c>
      <c r="E165" s="104">
        <v>5766.83</v>
      </c>
      <c r="F165" s="104">
        <v>40000</v>
      </c>
      <c r="G165" s="104">
        <v>7500</v>
      </c>
      <c r="H165" s="104">
        <v>0</v>
      </c>
      <c r="I165" s="235">
        <f>'GENERAL EXPENDITURE'!I34</f>
        <v>7500</v>
      </c>
      <c r="J165" s="80">
        <f>'GENERAL EXPENDITURE'!J34</f>
        <v>0</v>
      </c>
      <c r="K165" s="27"/>
      <c r="L165" s="27"/>
    </row>
    <row r="166" spans="1:12" s="1" customFormat="1">
      <c r="A166" s="17">
        <v>239</v>
      </c>
      <c r="B166" s="17">
        <v>183</v>
      </c>
      <c r="C166" s="17" t="s">
        <v>75</v>
      </c>
      <c r="D166" s="110">
        <v>165000</v>
      </c>
      <c r="E166" s="110">
        <v>144800</v>
      </c>
      <c r="F166" s="110">
        <v>270000</v>
      </c>
      <c r="G166" s="110">
        <v>176600</v>
      </c>
      <c r="H166" s="110">
        <v>353200</v>
      </c>
      <c r="I166" s="242">
        <f>'GENERAL EXPENDITURE'!I48</f>
        <v>231500</v>
      </c>
      <c r="J166" s="31">
        <f>'GENERAL EXPENDITURE'!J48</f>
        <v>500000</v>
      </c>
      <c r="K166" s="44"/>
    </row>
    <row r="167" spans="1:12" s="1" customFormat="1">
      <c r="A167" s="97">
        <v>267</v>
      </c>
      <c r="B167" s="97">
        <v>183</v>
      </c>
      <c r="C167" s="79" t="s">
        <v>130</v>
      </c>
      <c r="D167" s="104"/>
      <c r="E167" s="104"/>
      <c r="F167" s="104">
        <v>0</v>
      </c>
      <c r="G167" s="104">
        <v>17018.03</v>
      </c>
      <c r="H167" s="104">
        <f>MAYOR!H78</f>
        <v>0</v>
      </c>
      <c r="I167" s="235">
        <f>'GENERAL EXPENDITURE'!I97</f>
        <v>17018.03</v>
      </c>
      <c r="J167" s="84">
        <f>'GENERAL EXPENDITURE'!J97</f>
        <v>29173.765714285699</v>
      </c>
      <c r="K167" s="44"/>
    </row>
    <row r="168" spans="1:12" s="35" customFormat="1">
      <c r="A168" s="79">
        <v>274</v>
      </c>
      <c r="B168" s="79">
        <v>244</v>
      </c>
      <c r="C168" s="79" t="s">
        <v>410</v>
      </c>
      <c r="D168" s="104">
        <v>20000</v>
      </c>
      <c r="E168" s="104">
        <v>1350</v>
      </c>
      <c r="F168" s="104">
        <v>0</v>
      </c>
      <c r="G168" s="104">
        <v>0</v>
      </c>
      <c r="H168" s="104">
        <v>0</v>
      </c>
      <c r="I168" s="235">
        <f>'GENERAL EXPENDITURE'!I133</f>
        <v>0</v>
      </c>
      <c r="J168" s="84">
        <f>'GENERAL EXPENDITURE'!J133</f>
        <v>0</v>
      </c>
      <c r="K168" s="38">
        <v>2025</v>
      </c>
    </row>
    <row r="169" spans="1:12">
      <c r="A169" s="13">
        <v>281</v>
      </c>
      <c r="B169" s="13">
        <v>183</v>
      </c>
      <c r="C169" s="13" t="s">
        <v>75</v>
      </c>
      <c r="D169" s="104">
        <v>5000</v>
      </c>
      <c r="E169" s="104">
        <v>18000</v>
      </c>
      <c r="F169" s="104">
        <v>0</v>
      </c>
      <c r="G169" s="104">
        <v>0</v>
      </c>
      <c r="H169" s="104">
        <v>0</v>
      </c>
      <c r="I169" s="235">
        <f>'GENERAL EXPENDITURE'!I152</f>
        <v>0</v>
      </c>
      <c r="J169" s="80">
        <f>'GENERAL EXPENDITURE'!J152</f>
        <v>0</v>
      </c>
      <c r="K169" s="27"/>
      <c r="L169" s="27"/>
    </row>
    <row r="170" spans="1:12">
      <c r="A170" s="79">
        <v>293</v>
      </c>
      <c r="B170" s="79">
        <v>183</v>
      </c>
      <c r="C170" s="79" t="s">
        <v>130</v>
      </c>
      <c r="D170" s="104"/>
      <c r="E170" s="104"/>
      <c r="F170" s="104">
        <v>0</v>
      </c>
      <c r="G170" s="104">
        <v>24600</v>
      </c>
      <c r="H170" s="104">
        <v>0</v>
      </c>
      <c r="I170" s="235">
        <f>'GENERAL EXPENDITURE'!I186</f>
        <v>24600</v>
      </c>
      <c r="J170" s="84">
        <f>'GENERAL EXPENDITURE'!J186</f>
        <v>0</v>
      </c>
      <c r="K170" s="27"/>
      <c r="L170" s="27"/>
    </row>
    <row r="171" spans="1:12">
      <c r="A171" s="42"/>
      <c r="B171" s="42"/>
      <c r="C171" s="42"/>
      <c r="D171" s="107">
        <f t="shared" ref="D171:J171" si="33">SUM(D164:D170)</f>
        <v>350000</v>
      </c>
      <c r="E171" s="107">
        <f t="shared" si="33"/>
        <v>205916.83000000002</v>
      </c>
      <c r="F171" s="107">
        <f t="shared" si="33"/>
        <v>380000</v>
      </c>
      <c r="G171" s="107">
        <f t="shared" si="33"/>
        <v>236888.03</v>
      </c>
      <c r="H171" s="107">
        <f t="shared" si="33"/>
        <v>413200</v>
      </c>
      <c r="I171" s="237">
        <f t="shared" si="33"/>
        <v>291788.03000000003</v>
      </c>
      <c r="J171" s="92">
        <f t="shared" si="33"/>
        <v>548322.33714285714</v>
      </c>
      <c r="K171" s="27"/>
      <c r="L171" s="27"/>
    </row>
    <row r="172" spans="1:12">
      <c r="A172" s="42"/>
      <c r="B172" s="42"/>
      <c r="C172" s="42"/>
      <c r="D172" s="106"/>
      <c r="E172" s="106"/>
      <c r="F172" s="106"/>
      <c r="G172" s="106"/>
      <c r="H172" s="106"/>
      <c r="I172" s="241"/>
      <c r="J172" s="40"/>
      <c r="K172" s="27"/>
      <c r="L172" s="27"/>
    </row>
    <row r="173" spans="1:12">
      <c r="A173" s="13">
        <v>220</v>
      </c>
      <c r="B173" s="13">
        <v>179</v>
      </c>
      <c r="C173" s="13" t="s">
        <v>73</v>
      </c>
      <c r="D173" s="104">
        <v>80000</v>
      </c>
      <c r="E173" s="104">
        <v>39518.339999999997</v>
      </c>
      <c r="F173" s="104">
        <v>40000</v>
      </c>
      <c r="G173" s="104">
        <v>8174.15</v>
      </c>
      <c r="H173" s="104">
        <v>30000</v>
      </c>
      <c r="I173" s="235">
        <f>'GENERAL EXPENDITURE'!I14</f>
        <v>8174.15</v>
      </c>
      <c r="J173" s="80">
        <f>'GENERAL EXPENDITURE'!J14</f>
        <v>14012.82857142857</v>
      </c>
      <c r="K173" s="27">
        <v>59277.509999999995</v>
      </c>
    </row>
    <row r="174" spans="1:12">
      <c r="A174" s="13">
        <v>239</v>
      </c>
      <c r="B174" s="13">
        <v>179</v>
      </c>
      <c r="C174" s="13" t="s">
        <v>73</v>
      </c>
      <c r="D174" s="104">
        <v>125000</v>
      </c>
      <c r="E174" s="104">
        <v>85959</v>
      </c>
      <c r="F174" s="104">
        <v>129000</v>
      </c>
      <c r="G174" s="104">
        <v>24390</v>
      </c>
      <c r="H174" s="104">
        <v>50000</v>
      </c>
      <c r="I174" s="235">
        <f>'GENERAL EXPENDITURE'!I49</f>
        <v>25990</v>
      </c>
      <c r="J174" s="80">
        <f>'GENERAL EXPENDITURE'!J49</f>
        <v>44554.28571428571</v>
      </c>
      <c r="K174" s="27">
        <v>128938.5</v>
      </c>
    </row>
    <row r="175" spans="1:12">
      <c r="A175" s="13">
        <v>244</v>
      </c>
      <c r="B175" s="13">
        <v>179</v>
      </c>
      <c r="C175" s="13" t="s">
        <v>73</v>
      </c>
      <c r="D175" s="104">
        <v>200000</v>
      </c>
      <c r="E175" s="104">
        <v>52656.28</v>
      </c>
      <c r="F175" s="104">
        <v>60000</v>
      </c>
      <c r="G175" s="104">
        <v>14977.62</v>
      </c>
      <c r="H175" s="104">
        <v>40000</v>
      </c>
      <c r="I175" s="235">
        <f>'GENERAL EXPENDITURE'!I62</f>
        <v>14977.62</v>
      </c>
      <c r="J175" s="80">
        <f>'GENERAL EXPENDITURE'!J62</f>
        <v>30000</v>
      </c>
      <c r="K175" s="27">
        <v>78984.42</v>
      </c>
      <c r="L175" s="27"/>
    </row>
    <row r="176" spans="1:12">
      <c r="A176" s="13">
        <v>245</v>
      </c>
      <c r="B176" s="13">
        <v>179</v>
      </c>
      <c r="C176" s="13" t="s">
        <v>254</v>
      </c>
      <c r="D176" s="104">
        <v>0</v>
      </c>
      <c r="E176" s="104">
        <v>4130.8</v>
      </c>
      <c r="F176" s="104">
        <v>0</v>
      </c>
      <c r="G176" s="104">
        <v>0</v>
      </c>
      <c r="H176" s="104">
        <v>0</v>
      </c>
      <c r="I176" s="235">
        <f>'GENERAL EXPENDITURE'!I80</f>
        <v>0</v>
      </c>
      <c r="J176" s="80">
        <f>'GENERAL EXPENDITURE'!J80</f>
        <v>0</v>
      </c>
      <c r="K176" s="27">
        <v>6196.2000000000007</v>
      </c>
      <c r="L176" s="27"/>
    </row>
    <row r="177" spans="1:13">
      <c r="A177" s="13">
        <v>267</v>
      </c>
      <c r="B177" s="13">
        <v>179</v>
      </c>
      <c r="C177" s="13" t="s">
        <v>73</v>
      </c>
      <c r="D177" s="104">
        <v>70000</v>
      </c>
      <c r="E177" s="104">
        <v>44586.1</v>
      </c>
      <c r="F177" s="104">
        <v>50000</v>
      </c>
      <c r="G177" s="104">
        <v>52655</v>
      </c>
      <c r="H177" s="104">
        <v>100000</v>
      </c>
      <c r="I177" s="235">
        <f>'GENERAL EXPENDITURE'!I96</f>
        <v>54255</v>
      </c>
      <c r="J177" s="80">
        <f>'GENERAL EXPENDITURE'!J96</f>
        <v>93008.57142857142</v>
      </c>
      <c r="K177" s="27">
        <v>66879.149999999994</v>
      </c>
    </row>
    <row r="178" spans="1:13">
      <c r="A178" s="97">
        <v>267</v>
      </c>
      <c r="B178" s="97">
        <v>243</v>
      </c>
      <c r="C178" s="79" t="s">
        <v>1097</v>
      </c>
      <c r="D178" s="104"/>
      <c r="E178" s="104"/>
      <c r="F178" s="104">
        <v>0</v>
      </c>
      <c r="G178" s="104">
        <v>100000</v>
      </c>
      <c r="H178" s="104">
        <v>0</v>
      </c>
      <c r="I178" s="235">
        <f>'GENERAL EXPENDITURE'!I103</f>
        <v>100000</v>
      </c>
      <c r="J178" s="84">
        <f>'GENERAL EXPENDITURE'!J103</f>
        <v>171428.57142857142</v>
      </c>
      <c r="K178" s="27"/>
    </row>
    <row r="179" spans="1:13" s="35" customFormat="1">
      <c r="A179" s="79">
        <v>274</v>
      </c>
      <c r="B179" s="79">
        <v>243</v>
      </c>
      <c r="C179" s="79" t="s">
        <v>408</v>
      </c>
      <c r="D179" s="104">
        <v>50000</v>
      </c>
      <c r="E179" s="104">
        <v>24550.799999999999</v>
      </c>
      <c r="F179" s="104">
        <v>30000</v>
      </c>
      <c r="G179" s="104">
        <v>13526.61</v>
      </c>
      <c r="H179" s="104">
        <v>30000</v>
      </c>
      <c r="I179" s="235">
        <f>'GENERAL EXPENDITURE'!I132</f>
        <v>13526.61</v>
      </c>
      <c r="J179" s="84">
        <f>'GENERAL EXPENDITURE'!J132</f>
        <v>30000</v>
      </c>
      <c r="K179" s="38">
        <v>36826.199999999997</v>
      </c>
    </row>
    <row r="180" spans="1:13" s="35" customFormat="1">
      <c r="A180" s="79">
        <v>275</v>
      </c>
      <c r="B180" s="79">
        <v>243</v>
      </c>
      <c r="C180" s="79" t="s">
        <v>408</v>
      </c>
      <c r="D180" s="104">
        <v>13000</v>
      </c>
      <c r="E180" s="104">
        <v>2485.52</v>
      </c>
      <c r="F180" s="104">
        <v>3000</v>
      </c>
      <c r="G180" s="104">
        <v>0</v>
      </c>
      <c r="H180" s="104">
        <v>0</v>
      </c>
      <c r="I180" s="235">
        <f>'GENERAL EXPENDITURE'!I146</f>
        <v>0</v>
      </c>
      <c r="J180" s="84">
        <f>'GENERAL EXPENDITURE'!J146</f>
        <v>5000</v>
      </c>
      <c r="K180" s="38">
        <v>3728.2799999999997</v>
      </c>
    </row>
    <row r="181" spans="1:13" s="35" customFormat="1">
      <c r="A181" s="79">
        <v>290</v>
      </c>
      <c r="B181" s="79">
        <v>243</v>
      </c>
      <c r="C181" s="79" t="s">
        <v>254</v>
      </c>
      <c r="D181" s="104">
        <v>4500</v>
      </c>
      <c r="E181" s="104">
        <v>2507.5</v>
      </c>
      <c r="F181" s="104">
        <v>4500</v>
      </c>
      <c r="G181" s="104">
        <v>0</v>
      </c>
      <c r="H181" s="104">
        <v>0</v>
      </c>
      <c r="I181" s="235">
        <f>'GENERAL EXPENDITURE'!I166</f>
        <v>0</v>
      </c>
      <c r="J181" s="84">
        <f>'GENERAL EXPENDITURE'!J166</f>
        <v>5000</v>
      </c>
      <c r="K181" s="38">
        <v>3761.25</v>
      </c>
    </row>
    <row r="182" spans="1:13" s="35" customFormat="1">
      <c r="A182" s="79">
        <v>293</v>
      </c>
      <c r="B182" s="79">
        <v>243</v>
      </c>
      <c r="C182" s="79" t="s">
        <v>254</v>
      </c>
      <c r="D182" s="104"/>
      <c r="E182" s="104"/>
      <c r="F182" s="104">
        <v>0</v>
      </c>
      <c r="G182" s="104">
        <v>209.94</v>
      </c>
      <c r="H182" s="104">
        <v>0</v>
      </c>
      <c r="I182" s="235">
        <v>209.94</v>
      </c>
      <c r="J182" s="84">
        <v>10000</v>
      </c>
      <c r="K182" s="38"/>
    </row>
    <row r="183" spans="1:13">
      <c r="A183" s="42"/>
      <c r="B183" s="42"/>
      <c r="C183" s="42"/>
      <c r="D183" s="107">
        <f t="shared" ref="D183:J183" si="34">SUM(D173:D182)</f>
        <v>542500</v>
      </c>
      <c r="E183" s="107">
        <f t="shared" si="34"/>
        <v>256394.33999999997</v>
      </c>
      <c r="F183" s="107">
        <f t="shared" si="34"/>
        <v>316500</v>
      </c>
      <c r="G183" s="107">
        <f t="shared" si="34"/>
        <v>213933.32</v>
      </c>
      <c r="H183" s="107">
        <f t="shared" si="34"/>
        <v>250000</v>
      </c>
      <c r="I183" s="237">
        <f t="shared" si="34"/>
        <v>217133.32</v>
      </c>
      <c r="J183" s="92">
        <f t="shared" si="34"/>
        <v>403004.25714285712</v>
      </c>
      <c r="K183" s="27"/>
      <c r="L183" s="27"/>
    </row>
    <row r="184" spans="1:13">
      <c r="A184" s="42"/>
      <c r="B184" s="42"/>
      <c r="C184" s="42"/>
      <c r="D184" s="106"/>
      <c r="E184" s="106"/>
      <c r="F184" s="106"/>
      <c r="G184" s="106"/>
      <c r="H184" s="106"/>
      <c r="I184" s="241"/>
      <c r="J184" s="40"/>
      <c r="K184" s="27"/>
      <c r="L184" s="27"/>
    </row>
    <row r="185" spans="1:13">
      <c r="A185" s="13">
        <v>268</v>
      </c>
      <c r="B185" s="13">
        <v>249</v>
      </c>
      <c r="C185" s="13" t="s">
        <v>345</v>
      </c>
      <c r="D185" s="104">
        <v>288393</v>
      </c>
      <c r="E185" s="104">
        <v>0</v>
      </c>
      <c r="F185" s="104">
        <v>364000</v>
      </c>
      <c r="G185" s="104">
        <v>0</v>
      </c>
      <c r="H185" s="104">
        <v>150000</v>
      </c>
      <c r="I185" s="235">
        <f>'GENERAL EXPENDITURE'!I111</f>
        <v>0</v>
      </c>
      <c r="J185" s="80">
        <f>'GENERAL EXPENDITURE'!J111</f>
        <v>100000</v>
      </c>
      <c r="K185" s="27">
        <v>0</v>
      </c>
      <c r="L185" s="27"/>
      <c r="M185" s="52"/>
    </row>
    <row r="186" spans="1:13">
      <c r="A186" s="13">
        <v>268</v>
      </c>
      <c r="B186" s="13">
        <v>251</v>
      </c>
      <c r="C186" s="13" t="s">
        <v>347</v>
      </c>
      <c r="D186" s="104">
        <v>140000</v>
      </c>
      <c r="E186" s="104">
        <v>65359.43</v>
      </c>
      <c r="F186" s="104">
        <v>80000</v>
      </c>
      <c r="G186" s="104">
        <v>7400</v>
      </c>
      <c r="H186" s="104">
        <v>40000</v>
      </c>
      <c r="I186" s="235">
        <f>'GENERAL EXPENDITURE'!I112</f>
        <v>7400</v>
      </c>
      <c r="J186" s="80">
        <f>'GENERAL EXPENDITURE'!J112</f>
        <v>40000</v>
      </c>
      <c r="K186" s="27">
        <v>98039.145000000004</v>
      </c>
      <c r="L186" s="27"/>
    </row>
    <row r="187" spans="1:13" s="35" customFormat="1">
      <c r="A187" s="79">
        <v>274</v>
      </c>
      <c r="B187" s="79">
        <v>197</v>
      </c>
      <c r="C187" s="79" t="s">
        <v>399</v>
      </c>
      <c r="D187" s="104">
        <v>100000</v>
      </c>
      <c r="E187" s="104">
        <v>0</v>
      </c>
      <c r="F187" s="104">
        <v>0</v>
      </c>
      <c r="G187" s="104">
        <v>0</v>
      </c>
      <c r="H187" s="104">
        <v>0</v>
      </c>
      <c r="I187" s="235">
        <f>'GENERAL EXPENDITURE'!I129</f>
        <v>0</v>
      </c>
      <c r="J187" s="84">
        <f>'GENERAL EXPENDITURE'!J129</f>
        <v>0</v>
      </c>
      <c r="K187" s="38">
        <v>0</v>
      </c>
    </row>
    <row r="188" spans="1:13" s="35" customFormat="1">
      <c r="A188" s="90"/>
      <c r="B188" s="90"/>
      <c r="C188" s="90"/>
      <c r="D188" s="107">
        <f t="shared" ref="D188:J188" si="35">SUM(D185:D187)</f>
        <v>528393</v>
      </c>
      <c r="E188" s="107">
        <f t="shared" si="35"/>
        <v>65359.43</v>
      </c>
      <c r="F188" s="107">
        <f t="shared" si="35"/>
        <v>444000</v>
      </c>
      <c r="G188" s="107">
        <f t="shared" si="35"/>
        <v>7400</v>
      </c>
      <c r="H188" s="107">
        <f t="shared" si="35"/>
        <v>190000</v>
      </c>
      <c r="I188" s="237">
        <f t="shared" si="35"/>
        <v>7400</v>
      </c>
      <c r="J188" s="92">
        <f t="shared" si="35"/>
        <v>140000</v>
      </c>
      <c r="K188" s="38"/>
    </row>
    <row r="189" spans="1:13" s="35" customFormat="1">
      <c r="A189" s="90"/>
      <c r="B189" s="90"/>
      <c r="C189" s="90"/>
      <c r="D189" s="107"/>
      <c r="E189" s="107"/>
      <c r="F189" s="107"/>
      <c r="G189" s="107"/>
      <c r="H189" s="107"/>
      <c r="I189" s="237"/>
      <c r="J189" s="92"/>
      <c r="K189" s="38"/>
    </row>
    <row r="190" spans="1:13" s="48" customFormat="1">
      <c r="A190" s="364">
        <v>274</v>
      </c>
      <c r="B190" s="364">
        <v>457</v>
      </c>
      <c r="C190" s="364" t="s">
        <v>985</v>
      </c>
      <c r="D190" s="365">
        <v>750000</v>
      </c>
      <c r="E190" s="365">
        <v>192203.79</v>
      </c>
      <c r="F190" s="365">
        <v>1154000</v>
      </c>
      <c r="G190" s="365">
        <v>401730</v>
      </c>
      <c r="H190" s="365">
        <v>3017754.23</v>
      </c>
      <c r="I190" s="365">
        <v>401730</v>
      </c>
      <c r="J190" s="365">
        <f>'GENERAL EXPENDITURE'!J136</f>
        <v>1815000</v>
      </c>
      <c r="K190" s="355"/>
    </row>
    <row r="191" spans="1:13" s="48" customFormat="1">
      <c r="A191" s="366"/>
      <c r="B191" s="366"/>
      <c r="C191" s="366"/>
      <c r="D191" s="367">
        <f>D190</f>
        <v>750000</v>
      </c>
      <c r="E191" s="367">
        <f t="shared" ref="E191:J191" si="36">E190</f>
        <v>192203.79</v>
      </c>
      <c r="F191" s="367">
        <f t="shared" si="36"/>
        <v>1154000</v>
      </c>
      <c r="G191" s="367">
        <f t="shared" si="36"/>
        <v>401730</v>
      </c>
      <c r="H191" s="367">
        <f t="shared" si="36"/>
        <v>3017754.23</v>
      </c>
      <c r="I191" s="367">
        <f t="shared" si="36"/>
        <v>401730</v>
      </c>
      <c r="J191" s="367">
        <f t="shared" si="36"/>
        <v>1815000</v>
      </c>
      <c r="K191" s="355"/>
    </row>
    <row r="192" spans="1:13" s="35" customFormat="1">
      <c r="A192" s="90"/>
      <c r="B192" s="90"/>
      <c r="C192" s="90"/>
      <c r="D192" s="106"/>
      <c r="E192" s="106"/>
      <c r="F192" s="107"/>
      <c r="G192" s="107"/>
      <c r="H192" s="107"/>
      <c r="I192" s="237"/>
      <c r="J192" s="92"/>
      <c r="K192" s="38"/>
    </row>
    <row r="193" spans="1:12" s="35" customFormat="1">
      <c r="A193" s="317">
        <v>274</v>
      </c>
      <c r="B193" s="317">
        <v>199</v>
      </c>
      <c r="C193" s="317" t="s">
        <v>401</v>
      </c>
      <c r="D193" s="318">
        <v>100000</v>
      </c>
      <c r="E193" s="318">
        <v>0</v>
      </c>
      <c r="F193" s="318">
        <v>0</v>
      </c>
      <c r="G193" s="318">
        <v>0</v>
      </c>
      <c r="H193" s="318">
        <v>0</v>
      </c>
      <c r="I193" s="319">
        <v>0</v>
      </c>
      <c r="J193" s="320">
        <v>0</v>
      </c>
      <c r="K193" s="38"/>
    </row>
    <row r="194" spans="1:12" s="35" customFormat="1">
      <c r="A194" s="90"/>
      <c r="B194" s="90"/>
      <c r="C194" s="90"/>
      <c r="D194" s="107">
        <f t="shared" ref="D194:I194" si="37">D193</f>
        <v>100000</v>
      </c>
      <c r="E194" s="107">
        <f t="shared" si="37"/>
        <v>0</v>
      </c>
      <c r="F194" s="107">
        <f t="shared" si="37"/>
        <v>0</v>
      </c>
      <c r="G194" s="107">
        <f t="shared" si="37"/>
        <v>0</v>
      </c>
      <c r="H194" s="107">
        <f t="shared" si="37"/>
        <v>0</v>
      </c>
      <c r="I194" s="237">
        <f t="shared" si="37"/>
        <v>0</v>
      </c>
      <c r="J194" s="92">
        <f>J193</f>
        <v>0</v>
      </c>
      <c r="K194" s="38"/>
    </row>
    <row r="195" spans="1:12" s="35" customFormat="1">
      <c r="A195" s="90"/>
      <c r="B195" s="90"/>
      <c r="C195" s="90"/>
      <c r="D195" s="106"/>
      <c r="E195" s="106"/>
      <c r="F195" s="106"/>
      <c r="G195" s="106"/>
      <c r="H195" s="106"/>
      <c r="I195" s="241"/>
      <c r="J195" s="91"/>
      <c r="K195" s="38"/>
    </row>
    <row r="196" spans="1:12">
      <c r="A196" s="13">
        <v>239</v>
      </c>
      <c r="B196" s="13">
        <v>203</v>
      </c>
      <c r="C196" s="13" t="s">
        <v>161</v>
      </c>
      <c r="D196" s="104">
        <v>300000</v>
      </c>
      <c r="E196" s="104">
        <v>47800</v>
      </c>
      <c r="F196" s="104">
        <v>0</v>
      </c>
      <c r="G196" s="104">
        <v>236.84</v>
      </c>
      <c r="H196" s="104">
        <v>0</v>
      </c>
      <c r="I196" s="235">
        <f>'GENERAL EXPENDITURE'!I51</f>
        <v>236.84</v>
      </c>
      <c r="J196" s="80">
        <f>'GENERAL EXPENDITURE'!J51</f>
        <v>406.01142857142855</v>
      </c>
      <c r="K196" s="27">
        <v>71700</v>
      </c>
    </row>
    <row r="197" spans="1:12">
      <c r="A197" s="13">
        <v>267</v>
      </c>
      <c r="B197" s="13">
        <v>203</v>
      </c>
      <c r="C197" s="13" t="s">
        <v>320</v>
      </c>
      <c r="D197" s="104">
        <v>450000</v>
      </c>
      <c r="E197" s="104">
        <v>403182.46</v>
      </c>
      <c r="F197" s="104">
        <v>450000</v>
      </c>
      <c r="G197" s="104">
        <v>537753.68000000005</v>
      </c>
      <c r="H197" s="104">
        <v>800000</v>
      </c>
      <c r="I197" s="235">
        <f>'GENERAL EXPENDITURE'!I99</f>
        <v>566723.68000000005</v>
      </c>
      <c r="J197" s="80">
        <f>'GENERAL EXPENDITURE'!J99</f>
        <v>950000</v>
      </c>
      <c r="K197" s="27">
        <v>604773.69000000006</v>
      </c>
    </row>
    <row r="198" spans="1:12">
      <c r="A198" s="42"/>
      <c r="B198" s="42"/>
      <c r="C198" s="42"/>
      <c r="D198" s="107">
        <f t="shared" ref="D198:I198" si="38">SUM(D196:D197)</f>
        <v>750000</v>
      </c>
      <c r="E198" s="107">
        <f t="shared" si="38"/>
        <v>450982.46</v>
      </c>
      <c r="F198" s="107">
        <f t="shared" si="38"/>
        <v>450000</v>
      </c>
      <c r="G198" s="107">
        <f t="shared" si="38"/>
        <v>537990.52</v>
      </c>
      <c r="H198" s="107">
        <f t="shared" si="38"/>
        <v>800000</v>
      </c>
      <c r="I198" s="237">
        <f t="shared" si="38"/>
        <v>566960.52</v>
      </c>
      <c r="J198" s="92">
        <f>SUM(J196:J197)</f>
        <v>950406.01142857142</v>
      </c>
      <c r="K198" s="27"/>
    </row>
    <row r="199" spans="1:12">
      <c r="A199" s="42"/>
      <c r="B199" s="42"/>
      <c r="C199" s="42"/>
      <c r="D199" s="106"/>
      <c r="E199" s="106"/>
      <c r="F199" s="106"/>
      <c r="G199" s="106"/>
      <c r="H199" s="106"/>
      <c r="I199" s="241"/>
      <c r="J199" s="40"/>
      <c r="K199" s="27"/>
    </row>
    <row r="200" spans="1:12">
      <c r="A200" s="13">
        <v>230</v>
      </c>
      <c r="B200" s="13">
        <v>207</v>
      </c>
      <c r="C200" s="13" t="s">
        <v>142</v>
      </c>
      <c r="D200" s="104">
        <v>16000</v>
      </c>
      <c r="E200" s="104">
        <v>11080</v>
      </c>
      <c r="F200" s="104">
        <v>10000</v>
      </c>
      <c r="G200" s="104">
        <v>53049.74</v>
      </c>
      <c r="H200" s="104">
        <v>68000</v>
      </c>
      <c r="I200" s="235">
        <f>'GENERAL EXPENDITURE'!I45</f>
        <v>53049.74</v>
      </c>
      <c r="J200" s="80">
        <f>'GENERAL EXPENDITURE'!J45</f>
        <v>81730.16</v>
      </c>
      <c r="K200" s="27">
        <f>+E200/8*12</f>
        <v>16620</v>
      </c>
      <c r="L200" s="27"/>
    </row>
    <row r="201" spans="1:12">
      <c r="A201" s="42"/>
      <c r="B201" s="42"/>
      <c r="C201" s="42"/>
      <c r="D201" s="107">
        <f t="shared" ref="D201:I201" si="39">D200</f>
        <v>16000</v>
      </c>
      <c r="E201" s="107">
        <f t="shared" si="39"/>
        <v>11080</v>
      </c>
      <c r="F201" s="107">
        <f t="shared" si="39"/>
        <v>10000</v>
      </c>
      <c r="G201" s="107">
        <f t="shared" si="39"/>
        <v>53049.74</v>
      </c>
      <c r="H201" s="107">
        <f t="shared" si="39"/>
        <v>68000</v>
      </c>
      <c r="I201" s="237">
        <f t="shared" si="39"/>
        <v>53049.74</v>
      </c>
      <c r="J201" s="92">
        <f>J200</f>
        <v>81730.16</v>
      </c>
      <c r="K201" s="27"/>
      <c r="L201" s="27"/>
    </row>
    <row r="202" spans="1:12">
      <c r="A202" s="42"/>
      <c r="B202" s="42"/>
      <c r="C202" s="42"/>
      <c r="D202" s="106"/>
      <c r="E202" s="106"/>
      <c r="F202" s="107"/>
      <c r="G202" s="107"/>
      <c r="H202" s="107"/>
      <c r="I202" s="237"/>
      <c r="J202" s="55"/>
      <c r="K202" s="27"/>
      <c r="L202" s="27"/>
    </row>
    <row r="203" spans="1:12">
      <c r="A203" s="13">
        <v>219</v>
      </c>
      <c r="B203" s="13">
        <v>204</v>
      </c>
      <c r="C203" s="13" t="s">
        <v>42</v>
      </c>
      <c r="D203" s="104">
        <v>60000</v>
      </c>
      <c r="E203" s="104">
        <v>3898.62</v>
      </c>
      <c r="F203" s="104">
        <v>0</v>
      </c>
      <c r="G203" s="104">
        <v>2330.69</v>
      </c>
      <c r="H203" s="104">
        <v>0</v>
      </c>
      <c r="I203" s="235">
        <f>'GENERAL EXPENDITURE'!I8</f>
        <v>2330.69</v>
      </c>
      <c r="J203" s="80">
        <f>'GENERAL EXPENDITURE'!J8</f>
        <v>0</v>
      </c>
      <c r="K203" s="27"/>
      <c r="L203" s="27"/>
    </row>
    <row r="204" spans="1:12">
      <c r="A204" s="13">
        <v>220</v>
      </c>
      <c r="B204" s="13">
        <v>204</v>
      </c>
      <c r="C204" s="13" t="s">
        <v>42</v>
      </c>
      <c r="D204" s="104">
        <v>410600</v>
      </c>
      <c r="E204" s="104">
        <v>323418.34999999998</v>
      </c>
      <c r="F204" s="104">
        <v>320000</v>
      </c>
      <c r="G204" s="104">
        <v>388527.4</v>
      </c>
      <c r="H204" s="104">
        <v>450000</v>
      </c>
      <c r="I204" s="235">
        <f>'GENERAL EXPENDITURE'!I18</f>
        <v>392804.66</v>
      </c>
      <c r="J204" s="80">
        <f>'GENERAL EXPENDITURE'!J18</f>
        <v>673379.4171428571</v>
      </c>
      <c r="K204" s="27">
        <v>485127.52499999997</v>
      </c>
    </row>
    <row r="205" spans="1:12">
      <c r="A205" s="13">
        <v>230</v>
      </c>
      <c r="B205" s="13">
        <v>204</v>
      </c>
      <c r="C205" s="13" t="s">
        <v>42</v>
      </c>
      <c r="D205" s="104">
        <v>1000</v>
      </c>
      <c r="E205" s="104">
        <v>0</v>
      </c>
      <c r="F205" s="104">
        <v>0</v>
      </c>
      <c r="G205" s="104">
        <v>12.28</v>
      </c>
      <c r="H205" s="104">
        <v>2000</v>
      </c>
      <c r="I205" s="235">
        <f>'GENERAL EXPENDITURE'!I42</f>
        <v>12.28</v>
      </c>
      <c r="J205" s="80">
        <f>'GENERAL EXPENDITURE'!J42</f>
        <v>0</v>
      </c>
      <c r="K205" s="27">
        <v>0</v>
      </c>
      <c r="L205" s="27"/>
    </row>
    <row r="206" spans="1:12">
      <c r="A206" s="13">
        <v>239</v>
      </c>
      <c r="B206" s="13">
        <v>204</v>
      </c>
      <c r="C206" s="13" t="s">
        <v>42</v>
      </c>
      <c r="D206" s="104">
        <v>20000</v>
      </c>
      <c r="E206" s="104">
        <v>20492.43</v>
      </c>
      <c r="F206" s="104">
        <v>35000</v>
      </c>
      <c r="G206" s="104">
        <v>53317.31</v>
      </c>
      <c r="H206" s="104">
        <v>100000</v>
      </c>
      <c r="I206" s="235">
        <f>'GENERAL EXPENDITURE'!I52</f>
        <v>53317.31</v>
      </c>
      <c r="J206" s="80">
        <f>'GENERAL EXPENDITURE'!J52</f>
        <v>91401.102857142861</v>
      </c>
      <c r="K206" s="27">
        <v>30738.645</v>
      </c>
    </row>
    <row r="207" spans="1:12">
      <c r="A207" s="13">
        <v>244</v>
      </c>
      <c r="B207" s="13">
        <v>204</v>
      </c>
      <c r="C207" s="13" t="s">
        <v>42</v>
      </c>
      <c r="D207" s="104">
        <v>130000</v>
      </c>
      <c r="E207" s="104">
        <v>104071.8</v>
      </c>
      <c r="F207" s="104">
        <v>157000</v>
      </c>
      <c r="G207" s="104">
        <v>85233.15</v>
      </c>
      <c r="H207" s="104">
        <v>157000</v>
      </c>
      <c r="I207" s="235">
        <f>'GENERAL EXPENDITURE'!I69</f>
        <v>114680.45</v>
      </c>
      <c r="J207" s="80">
        <f>'GENERAL EXPENDITURE'!J69</f>
        <v>200000</v>
      </c>
      <c r="K207" s="27">
        <v>156107.70000000001</v>
      </c>
      <c r="L207" s="27"/>
    </row>
    <row r="208" spans="1:12">
      <c r="A208" s="13">
        <v>245</v>
      </c>
      <c r="B208" s="13">
        <v>204</v>
      </c>
      <c r="C208" s="13" t="s">
        <v>42</v>
      </c>
      <c r="D208" s="104">
        <v>30000</v>
      </c>
      <c r="E208" s="104">
        <v>18711.5</v>
      </c>
      <c r="F208" s="104">
        <v>20000</v>
      </c>
      <c r="G208" s="104">
        <v>13916.13</v>
      </c>
      <c r="H208" s="104">
        <v>40000</v>
      </c>
      <c r="I208" s="235">
        <f>'GENERAL EXPENDITURE'!I83</f>
        <v>13916.13</v>
      </c>
      <c r="J208" s="80">
        <f>'GENERAL EXPENDITURE'!J83</f>
        <v>25000</v>
      </c>
      <c r="K208" s="27">
        <v>28067.25</v>
      </c>
      <c r="L208" s="27"/>
    </row>
    <row r="209" spans="1:13">
      <c r="A209" s="13">
        <v>267</v>
      </c>
      <c r="B209" s="13">
        <v>204</v>
      </c>
      <c r="C209" s="13" t="s">
        <v>42</v>
      </c>
      <c r="D209" s="104">
        <v>11000</v>
      </c>
      <c r="E209" s="104">
        <v>12671.57</v>
      </c>
      <c r="F209" s="104">
        <v>20000</v>
      </c>
      <c r="G209" s="104">
        <v>19323.91</v>
      </c>
      <c r="H209" s="104">
        <v>40000</v>
      </c>
      <c r="I209" s="235">
        <f>'GENERAL EXPENDITURE'!I100</f>
        <v>49673.91</v>
      </c>
      <c r="J209" s="80">
        <f>'GENERAL EXPENDITURE'!J100</f>
        <v>85155.274285714288</v>
      </c>
      <c r="K209" s="27">
        <v>19007.355</v>
      </c>
    </row>
    <row r="210" spans="1:13" s="35" customFormat="1">
      <c r="A210" s="79">
        <v>274</v>
      </c>
      <c r="B210" s="79">
        <v>204</v>
      </c>
      <c r="C210" s="79" t="s">
        <v>42</v>
      </c>
      <c r="D210" s="104">
        <v>1400000</v>
      </c>
      <c r="E210" s="104">
        <v>990824.12</v>
      </c>
      <c r="F210" s="104">
        <v>1500000</v>
      </c>
      <c r="G210" s="104">
        <v>498342.82</v>
      </c>
      <c r="H210" s="104">
        <v>900000</v>
      </c>
      <c r="I210" s="235">
        <f>'GENERAL EXPENDITURE'!I131</f>
        <v>557522.16</v>
      </c>
      <c r="J210" s="84">
        <f>'GENERAL EXPENDITURE'!J131</f>
        <v>600000</v>
      </c>
      <c r="K210" s="38">
        <v>1486236.18</v>
      </c>
    </row>
    <row r="211" spans="1:13" s="35" customFormat="1">
      <c r="A211" s="79">
        <v>275</v>
      </c>
      <c r="B211" s="79">
        <v>204</v>
      </c>
      <c r="C211" s="79" t="s">
        <v>42</v>
      </c>
      <c r="D211" s="104">
        <v>20000</v>
      </c>
      <c r="E211" s="104">
        <v>29019.77</v>
      </c>
      <c r="F211" s="104">
        <v>10000</v>
      </c>
      <c r="G211" s="104">
        <v>11089.09</v>
      </c>
      <c r="H211" s="104">
        <v>22000</v>
      </c>
      <c r="I211" s="235">
        <f>'GENERAL EXPENDITURE'!I144</f>
        <v>11089.09</v>
      </c>
      <c r="J211" s="84">
        <f>'GENERAL EXPENDITURE'!J144</f>
        <v>22000</v>
      </c>
      <c r="K211" s="38">
        <v>43529.654999999999</v>
      </c>
    </row>
    <row r="212" spans="1:13" s="35" customFormat="1">
      <c r="A212" s="79">
        <v>290</v>
      </c>
      <c r="B212" s="79">
        <v>204</v>
      </c>
      <c r="C212" s="79" t="s">
        <v>42</v>
      </c>
      <c r="D212" s="104">
        <v>7000</v>
      </c>
      <c r="E212" s="104">
        <v>5505.56</v>
      </c>
      <c r="F212" s="104">
        <v>8000</v>
      </c>
      <c r="G212" s="104">
        <v>36005.879999999997</v>
      </c>
      <c r="H212" s="104">
        <v>68000</v>
      </c>
      <c r="I212" s="235">
        <f>'GENERAL EXPENDITURE'!I164</f>
        <v>41015.85</v>
      </c>
      <c r="J212" s="84">
        <f>'GENERAL EXPENDITURE'!J164</f>
        <v>60000</v>
      </c>
      <c r="K212" s="38">
        <v>8258.34</v>
      </c>
    </row>
    <row r="213" spans="1:13" s="35" customFormat="1">
      <c r="A213" s="79">
        <v>293</v>
      </c>
      <c r="B213" s="79">
        <v>204</v>
      </c>
      <c r="C213" s="79" t="s">
        <v>637</v>
      </c>
      <c r="D213" s="104">
        <v>7000</v>
      </c>
      <c r="E213" s="104">
        <v>3924.89</v>
      </c>
      <c r="F213" s="104">
        <v>5900</v>
      </c>
      <c r="G213" s="104">
        <v>6126.02</v>
      </c>
      <c r="H213" s="104">
        <v>12000</v>
      </c>
      <c r="I213" s="235">
        <f>'GENERAL EXPENDITURE'!I190</f>
        <v>6126.02</v>
      </c>
      <c r="J213" s="84">
        <f>'GENERAL EXPENDITURE'!J190</f>
        <v>10000</v>
      </c>
      <c r="K213" s="38">
        <v>5887.335</v>
      </c>
    </row>
    <row r="214" spans="1:13">
      <c r="A214" s="42"/>
      <c r="B214" s="42"/>
      <c r="C214" s="42"/>
      <c r="D214" s="107">
        <f t="shared" ref="D214:J214" si="40">SUM(D203:D213)</f>
        <v>2096600</v>
      </c>
      <c r="E214" s="107">
        <f t="shared" si="40"/>
        <v>1512538.6099999999</v>
      </c>
      <c r="F214" s="107">
        <f t="shared" si="40"/>
        <v>2075900</v>
      </c>
      <c r="G214" s="107">
        <f t="shared" si="40"/>
        <v>1114224.6800000002</v>
      </c>
      <c r="H214" s="107">
        <f t="shared" si="40"/>
        <v>1791000</v>
      </c>
      <c r="I214" s="237">
        <f t="shared" si="40"/>
        <v>1242488.5500000003</v>
      </c>
      <c r="J214" s="92">
        <f t="shared" si="40"/>
        <v>1766935.7942857144</v>
      </c>
      <c r="K214" s="27"/>
      <c r="L214" s="27"/>
    </row>
    <row r="215" spans="1:13">
      <c r="A215" s="42"/>
      <c r="B215" s="42"/>
      <c r="C215" s="42"/>
      <c r="D215" s="106"/>
      <c r="E215" s="106"/>
      <c r="F215" s="107"/>
      <c r="G215" s="107"/>
      <c r="H215" s="107"/>
      <c r="I215" s="237"/>
      <c r="J215" s="55"/>
      <c r="K215" s="27"/>
      <c r="L215" s="27"/>
    </row>
    <row r="216" spans="1:13" s="35" customFormat="1">
      <c r="A216" s="79">
        <v>275</v>
      </c>
      <c r="B216" s="79">
        <v>240</v>
      </c>
      <c r="C216" s="79" t="s">
        <v>466</v>
      </c>
      <c r="D216" s="104">
        <v>689200</v>
      </c>
      <c r="E216" s="104">
        <v>189200</v>
      </c>
      <c r="F216" s="104">
        <v>200000</v>
      </c>
      <c r="G216" s="104">
        <v>0</v>
      </c>
      <c r="H216" s="104">
        <v>0</v>
      </c>
      <c r="I216" s="235">
        <f>'GENERAL EXPENDITURE'!I145</f>
        <v>0</v>
      </c>
      <c r="J216" s="84">
        <f>'GENERAL EXPENDITURE'!J145</f>
        <v>0</v>
      </c>
      <c r="K216" s="38">
        <f>+E216/8*12</f>
        <v>283800</v>
      </c>
    </row>
    <row r="217" spans="1:13" s="35" customFormat="1">
      <c r="A217" s="90"/>
      <c r="B217" s="90"/>
      <c r="C217" s="90"/>
      <c r="D217" s="107">
        <f t="shared" ref="D217:I217" si="41">D216</f>
        <v>689200</v>
      </c>
      <c r="E217" s="107">
        <f t="shared" si="41"/>
        <v>189200</v>
      </c>
      <c r="F217" s="107">
        <f t="shared" si="41"/>
        <v>200000</v>
      </c>
      <c r="G217" s="107">
        <f t="shared" si="41"/>
        <v>0</v>
      </c>
      <c r="H217" s="107">
        <f t="shared" si="41"/>
        <v>0</v>
      </c>
      <c r="I217" s="237">
        <f t="shared" si="41"/>
        <v>0</v>
      </c>
      <c r="J217" s="92">
        <f>J216</f>
        <v>0</v>
      </c>
      <c r="K217" s="38"/>
    </row>
    <row r="218" spans="1:13" s="35" customFormat="1">
      <c r="A218" s="90"/>
      <c r="B218" s="90"/>
      <c r="C218" s="90"/>
      <c r="D218" s="106"/>
      <c r="E218" s="106"/>
      <c r="F218" s="103"/>
      <c r="G218" s="103"/>
      <c r="H218" s="103"/>
      <c r="I218" s="234"/>
      <c r="J218" s="73"/>
      <c r="K218" s="38"/>
    </row>
    <row r="219" spans="1:13" s="35" customFormat="1">
      <c r="A219" s="79">
        <v>274</v>
      </c>
      <c r="B219" s="79">
        <v>129</v>
      </c>
      <c r="C219" s="79" t="s">
        <v>230</v>
      </c>
      <c r="D219" s="104">
        <v>10000</v>
      </c>
      <c r="E219" s="104">
        <v>0</v>
      </c>
      <c r="F219" s="104">
        <v>230000</v>
      </c>
      <c r="G219" s="104">
        <v>0</v>
      </c>
      <c r="H219" s="104">
        <v>230000</v>
      </c>
      <c r="I219" s="235">
        <f>'GENERAL EXPENDITURE'!I123</f>
        <v>-92414.13</v>
      </c>
      <c r="J219" s="84">
        <f>'GENERAL EXPENDITURE'!J123</f>
        <v>20000</v>
      </c>
      <c r="K219" s="38">
        <f>+E219/8*12</f>
        <v>0</v>
      </c>
    </row>
    <row r="220" spans="1:13" s="35" customFormat="1">
      <c r="A220" s="90"/>
      <c r="B220" s="90"/>
      <c r="C220" s="90"/>
      <c r="D220" s="107">
        <f t="shared" ref="D220:J220" si="42">D219</f>
        <v>10000</v>
      </c>
      <c r="E220" s="107">
        <f t="shared" si="42"/>
        <v>0</v>
      </c>
      <c r="F220" s="107">
        <f t="shared" si="42"/>
        <v>230000</v>
      </c>
      <c r="G220" s="107">
        <f t="shared" si="42"/>
        <v>0</v>
      </c>
      <c r="H220" s="107">
        <f t="shared" si="42"/>
        <v>230000</v>
      </c>
      <c r="I220" s="237">
        <f t="shared" si="42"/>
        <v>-92414.13</v>
      </c>
      <c r="J220" s="92">
        <f t="shared" si="42"/>
        <v>20000</v>
      </c>
      <c r="K220" s="38"/>
    </row>
    <row r="221" spans="1:13" s="35" customFormat="1">
      <c r="A221" s="90"/>
      <c r="B221" s="90"/>
      <c r="C221" s="90"/>
      <c r="D221" s="106"/>
      <c r="E221" s="106"/>
      <c r="F221" s="106"/>
      <c r="G221" s="106"/>
      <c r="H221" s="106"/>
      <c r="I221" s="241"/>
      <c r="J221" s="91"/>
      <c r="K221" s="38"/>
    </row>
    <row r="222" spans="1:13">
      <c r="A222" s="13">
        <v>227</v>
      </c>
      <c r="B222" s="13">
        <v>200</v>
      </c>
      <c r="C222" s="13" t="s">
        <v>118</v>
      </c>
      <c r="D222" s="104">
        <v>50000</v>
      </c>
      <c r="E222" s="104">
        <v>47100</v>
      </c>
      <c r="F222" s="104">
        <v>70000</v>
      </c>
      <c r="G222" s="104">
        <v>0</v>
      </c>
      <c r="H222" s="104">
        <v>70000</v>
      </c>
      <c r="I222" s="235">
        <v>0</v>
      </c>
      <c r="J222" s="80">
        <v>100000</v>
      </c>
      <c r="K222" s="40">
        <f>I222/7*12</f>
        <v>0</v>
      </c>
      <c r="L222" s="27"/>
      <c r="M222" s="27"/>
    </row>
    <row r="223" spans="1:13">
      <c r="A223" s="42"/>
      <c r="B223" s="42"/>
      <c r="C223" s="42"/>
      <c r="D223" s="107">
        <f t="shared" ref="D223:I223" si="43">D222</f>
        <v>50000</v>
      </c>
      <c r="E223" s="107">
        <f t="shared" si="43"/>
        <v>47100</v>
      </c>
      <c r="F223" s="107">
        <f t="shared" si="43"/>
        <v>70000</v>
      </c>
      <c r="G223" s="107">
        <f t="shared" si="43"/>
        <v>0</v>
      </c>
      <c r="H223" s="107">
        <f t="shared" si="43"/>
        <v>70000</v>
      </c>
      <c r="I223" s="237">
        <f t="shared" si="43"/>
        <v>0</v>
      </c>
      <c r="J223" s="55">
        <f>J222</f>
        <v>100000</v>
      </c>
      <c r="K223" s="40"/>
      <c r="L223" s="27"/>
      <c r="M223" s="27"/>
    </row>
    <row r="224" spans="1:13" s="35" customFormat="1">
      <c r="A224" s="90"/>
      <c r="B224" s="90"/>
      <c r="C224" s="90"/>
      <c r="D224" s="106"/>
      <c r="E224" s="106"/>
      <c r="F224" s="106"/>
      <c r="G224" s="106"/>
      <c r="H224" s="106"/>
      <c r="I224" s="241"/>
      <c r="J224" s="91"/>
      <c r="K224" s="38"/>
    </row>
    <row r="225" spans="1:12">
      <c r="A225" s="13">
        <v>229</v>
      </c>
      <c r="B225" s="13">
        <v>182</v>
      </c>
      <c r="C225" s="13" t="s">
        <v>128</v>
      </c>
      <c r="D225" s="104">
        <v>250000</v>
      </c>
      <c r="E225" s="104">
        <v>0</v>
      </c>
      <c r="F225" s="104">
        <v>250000</v>
      </c>
      <c r="G225" s="104">
        <v>125770</v>
      </c>
      <c r="H225" s="104">
        <v>250000</v>
      </c>
      <c r="I225" s="235">
        <f>'GENERAL EXPENDITURE'!I33</f>
        <v>125770</v>
      </c>
      <c r="J225" s="80">
        <f>'GENERAL EXPENDITURE'!J33</f>
        <v>250000</v>
      </c>
      <c r="K225" s="27"/>
      <c r="L225" s="27"/>
    </row>
    <row r="226" spans="1:12">
      <c r="A226" s="13">
        <v>244</v>
      </c>
      <c r="B226" s="13">
        <v>182</v>
      </c>
      <c r="C226" s="13" t="s">
        <v>199</v>
      </c>
      <c r="D226" s="104">
        <v>900000</v>
      </c>
      <c r="E226" s="104">
        <v>487050.91</v>
      </c>
      <c r="F226" s="104">
        <v>700000</v>
      </c>
      <c r="G226" s="104">
        <v>147156.9</v>
      </c>
      <c r="H226" s="104">
        <v>500000</v>
      </c>
      <c r="I226" s="235">
        <f>'GENERAL EXPENDITURE'!I64</f>
        <v>150153.39000000001</v>
      </c>
      <c r="J226" s="80">
        <f>'GENERAL EXPENDITURE'!J64</f>
        <v>500000</v>
      </c>
      <c r="K226" s="27">
        <v>730576.36499999999</v>
      </c>
      <c r="L226" s="27"/>
    </row>
    <row r="227" spans="1:12" s="35" customFormat="1">
      <c r="A227" s="79">
        <v>274</v>
      </c>
      <c r="B227" s="79">
        <v>183</v>
      </c>
      <c r="C227" s="79" t="s">
        <v>395</v>
      </c>
      <c r="D227" s="104">
        <v>301395.08</v>
      </c>
      <c r="E227" s="104">
        <v>0</v>
      </c>
      <c r="F227" s="104">
        <v>100000</v>
      </c>
      <c r="G227" s="104">
        <v>0</v>
      </c>
      <c r="H227" s="104">
        <v>50000</v>
      </c>
      <c r="I227" s="235">
        <f>'GENERAL EXPENDITURE'!I125</f>
        <v>0</v>
      </c>
      <c r="J227" s="84">
        <f>'GENERAL EXPENDITURE'!J125</f>
        <v>0</v>
      </c>
      <c r="K227" s="38">
        <v>0</v>
      </c>
    </row>
    <row r="228" spans="1:12">
      <c r="A228" s="42"/>
      <c r="B228" s="42"/>
      <c r="C228" s="42"/>
      <c r="D228" s="107">
        <f t="shared" ref="D228:J228" si="44">SUM(D225:D227)</f>
        <v>1451395.08</v>
      </c>
      <c r="E228" s="107">
        <f t="shared" si="44"/>
        <v>487050.91</v>
      </c>
      <c r="F228" s="107">
        <f t="shared" si="44"/>
        <v>1050000</v>
      </c>
      <c r="G228" s="107">
        <f t="shared" si="44"/>
        <v>272926.90000000002</v>
      </c>
      <c r="H228" s="107">
        <f t="shared" si="44"/>
        <v>800000</v>
      </c>
      <c r="I228" s="237">
        <f t="shared" si="44"/>
        <v>275923.39</v>
      </c>
      <c r="J228" s="92">
        <f t="shared" si="44"/>
        <v>750000</v>
      </c>
      <c r="K228" s="27"/>
      <c r="L228" s="27"/>
    </row>
    <row r="229" spans="1:12">
      <c r="A229" s="42"/>
      <c r="B229" s="42"/>
      <c r="C229" s="42"/>
      <c r="D229" s="106"/>
      <c r="E229" s="106"/>
      <c r="F229" s="107"/>
      <c r="G229" s="107"/>
      <c r="H229" s="107"/>
      <c r="I229" s="237"/>
      <c r="J229" s="55"/>
      <c r="K229" s="27"/>
      <c r="L229" s="27"/>
    </row>
    <row r="230" spans="1:12">
      <c r="A230" s="13">
        <v>230</v>
      </c>
      <c r="B230" s="13">
        <v>195</v>
      </c>
      <c r="C230" s="13" t="s">
        <v>138</v>
      </c>
      <c r="D230" s="104">
        <v>9500</v>
      </c>
      <c r="E230" s="104">
        <v>3806.05</v>
      </c>
      <c r="F230" s="104">
        <v>5000</v>
      </c>
      <c r="G230" s="104">
        <v>31778.07</v>
      </c>
      <c r="H230" s="104">
        <v>45000</v>
      </c>
      <c r="I230" s="235">
        <f>'GENERAL EXPENDITURE'!I41</f>
        <v>31778.07</v>
      </c>
      <c r="J230" s="80">
        <f>'GENERAL EXPENDITURE'!J41</f>
        <v>0</v>
      </c>
      <c r="K230" s="27">
        <f>+E230/8*12</f>
        <v>5709.0750000000007</v>
      </c>
      <c r="L230" s="27"/>
    </row>
    <row r="231" spans="1:12">
      <c r="A231" s="13">
        <v>219</v>
      </c>
      <c r="B231" s="13">
        <v>195</v>
      </c>
      <c r="C231" s="13" t="s">
        <v>38</v>
      </c>
      <c r="D231" s="104">
        <v>45000</v>
      </c>
      <c r="E231" s="104">
        <v>19153.259999999998</v>
      </c>
      <c r="F231" s="104">
        <v>45000</v>
      </c>
      <c r="G231" s="104">
        <v>51475.040000000001</v>
      </c>
      <c r="H231" s="104">
        <v>80000</v>
      </c>
      <c r="I231" s="235">
        <f>'GENERAL EXPENDITURE'!I6</f>
        <v>51475.040000000001</v>
      </c>
      <c r="J231" s="80">
        <f>'GENERAL EXPENDITURE'!J6</f>
        <v>60000</v>
      </c>
      <c r="K231" s="27"/>
      <c r="L231" s="27"/>
    </row>
    <row r="232" spans="1:12">
      <c r="A232" s="13">
        <v>220</v>
      </c>
      <c r="B232" s="13">
        <v>195</v>
      </c>
      <c r="C232" s="13" t="s">
        <v>38</v>
      </c>
      <c r="D232" s="104">
        <v>500000</v>
      </c>
      <c r="E232" s="104">
        <v>294411.49</v>
      </c>
      <c r="F232" s="104">
        <v>300000</v>
      </c>
      <c r="G232" s="104">
        <v>159052.91</v>
      </c>
      <c r="H232" s="104">
        <v>300000</v>
      </c>
      <c r="I232" s="235">
        <f>'GENERAL EXPENDITURE'!I17</f>
        <v>310862.15999999997</v>
      </c>
      <c r="J232" s="80">
        <f>'GENERAL EXPENDITURE'!J17</f>
        <v>600000</v>
      </c>
      <c r="K232" s="27">
        <v>441617.23499999999</v>
      </c>
    </row>
    <row r="233" spans="1:12">
      <c r="A233" s="13">
        <v>227</v>
      </c>
      <c r="B233" s="13">
        <v>195</v>
      </c>
      <c r="C233" s="13" t="s">
        <v>38</v>
      </c>
      <c r="D233" s="104">
        <v>15000</v>
      </c>
      <c r="E233" s="104">
        <v>0</v>
      </c>
      <c r="F233" s="104">
        <v>15000</v>
      </c>
      <c r="G233" s="104">
        <v>3266.26</v>
      </c>
      <c r="H233" s="104">
        <v>15000</v>
      </c>
      <c r="I233" s="250">
        <v>3266.26</v>
      </c>
      <c r="J233" s="80">
        <v>10000</v>
      </c>
      <c r="K233" s="27"/>
    </row>
    <row r="234" spans="1:12">
      <c r="A234" s="13">
        <v>229</v>
      </c>
      <c r="B234" s="13">
        <v>195</v>
      </c>
      <c r="C234" s="13" t="s">
        <v>132</v>
      </c>
      <c r="D234" s="104">
        <v>45000</v>
      </c>
      <c r="E234" s="104">
        <v>33945.339999999997</v>
      </c>
      <c r="F234" s="104">
        <v>60000</v>
      </c>
      <c r="G234" s="104">
        <v>84116.61</v>
      </c>
      <c r="H234" s="104">
        <v>92500</v>
      </c>
      <c r="I234" s="235">
        <f>'GENERAL EXPENDITURE'!I36</f>
        <v>85276.21</v>
      </c>
      <c r="J234" s="80">
        <f>'GENERAL EXPENDITURE'!J36</f>
        <v>100000</v>
      </c>
      <c r="K234" s="27"/>
      <c r="L234" s="27"/>
    </row>
    <row r="235" spans="1:12">
      <c r="A235" s="13">
        <v>239</v>
      </c>
      <c r="B235" s="13">
        <v>195</v>
      </c>
      <c r="C235" s="13" t="s">
        <v>38</v>
      </c>
      <c r="D235" s="104">
        <v>400000</v>
      </c>
      <c r="E235" s="104">
        <v>452494.53</v>
      </c>
      <c r="F235" s="104">
        <v>500000</v>
      </c>
      <c r="G235" s="104">
        <v>496121.27</v>
      </c>
      <c r="H235" s="104">
        <v>780000</v>
      </c>
      <c r="I235" s="235">
        <f>'GENERAL EXPENDITURE'!I50</f>
        <v>507325.74</v>
      </c>
      <c r="J235" s="80">
        <f>'GENERAL EXPENDITURE'!J50</f>
        <v>860000</v>
      </c>
      <c r="K235" s="27">
        <v>678741.79500000004</v>
      </c>
    </row>
    <row r="236" spans="1:12">
      <c r="A236" s="13">
        <v>244</v>
      </c>
      <c r="B236" s="13">
        <v>195</v>
      </c>
      <c r="C236" s="13" t="s">
        <v>38</v>
      </c>
      <c r="D236" s="104">
        <v>219600</v>
      </c>
      <c r="E236" s="104">
        <v>142869.91</v>
      </c>
      <c r="F236" s="104">
        <v>219600</v>
      </c>
      <c r="G236" s="104">
        <v>111770.18</v>
      </c>
      <c r="H236" s="104">
        <v>219600</v>
      </c>
      <c r="I236" s="235">
        <f>'GENERAL EXPENDITURE'!I67</f>
        <v>113656.09</v>
      </c>
      <c r="J236" s="80">
        <f>'GENERAL EXPENDITURE'!J67</f>
        <v>200000</v>
      </c>
      <c r="K236" s="27">
        <v>214304.86499999999</v>
      </c>
      <c r="L236" s="27"/>
    </row>
    <row r="237" spans="1:12">
      <c r="A237" s="13">
        <v>245</v>
      </c>
      <c r="B237" s="13">
        <v>195</v>
      </c>
      <c r="C237" s="13" t="s">
        <v>38</v>
      </c>
      <c r="D237" s="104">
        <v>60000</v>
      </c>
      <c r="E237" s="104">
        <v>54837.77</v>
      </c>
      <c r="F237" s="104">
        <v>60000</v>
      </c>
      <c r="G237" s="104">
        <v>60121.34</v>
      </c>
      <c r="H237" s="104">
        <v>120000</v>
      </c>
      <c r="I237" s="235">
        <f>'GENERAL EXPENDITURE'!I82</f>
        <v>79821.34</v>
      </c>
      <c r="J237" s="80">
        <f>'GENERAL EXPENDITURE'!J82</f>
        <v>120000</v>
      </c>
      <c r="K237" s="27">
        <v>82256.654999999999</v>
      </c>
      <c r="L237" s="27"/>
    </row>
    <row r="238" spans="1:12">
      <c r="A238" s="13">
        <v>262</v>
      </c>
      <c r="B238" s="13">
        <v>195</v>
      </c>
      <c r="C238" s="13" t="s">
        <v>38</v>
      </c>
      <c r="D238" s="104">
        <v>6000</v>
      </c>
      <c r="E238" s="104">
        <v>3586.63</v>
      </c>
      <c r="F238" s="104">
        <v>5000</v>
      </c>
      <c r="G238" s="104">
        <v>35265.21</v>
      </c>
      <c r="H238" s="104">
        <v>57000</v>
      </c>
      <c r="I238" s="235">
        <f>'GENERAL EXPENDITURE'!I90</f>
        <v>35265.21</v>
      </c>
      <c r="J238" s="80">
        <f>'GENERAL EXPENDITURE'!J90</f>
        <v>0</v>
      </c>
      <c r="K238" s="27">
        <v>5379.9449999999997</v>
      </c>
      <c r="L238" s="27"/>
    </row>
    <row r="239" spans="1:12">
      <c r="A239" s="13">
        <v>267</v>
      </c>
      <c r="B239" s="13">
        <v>195</v>
      </c>
      <c r="C239" s="13" t="s">
        <v>38</v>
      </c>
      <c r="D239" s="104">
        <v>300000</v>
      </c>
      <c r="E239" s="104">
        <v>227027.36</v>
      </c>
      <c r="F239" s="104">
        <v>300000</v>
      </c>
      <c r="G239" s="104">
        <v>237459.85</v>
      </c>
      <c r="H239" s="104">
        <v>450000</v>
      </c>
      <c r="I239" s="235">
        <f>'GENERAL EXPENDITURE'!I98</f>
        <v>348020.65</v>
      </c>
      <c r="J239" s="80">
        <f>'GENERAL EXPENDITURE'!J98</f>
        <v>596606.82857142854</v>
      </c>
      <c r="K239" s="27">
        <v>340541.04</v>
      </c>
    </row>
    <row r="240" spans="1:12">
      <c r="A240" s="13">
        <v>268</v>
      </c>
      <c r="B240" s="13">
        <v>195</v>
      </c>
      <c r="C240" s="13" t="s">
        <v>38</v>
      </c>
      <c r="D240" s="104">
        <v>10000</v>
      </c>
      <c r="E240" s="104">
        <v>6067.8</v>
      </c>
      <c r="F240" s="104">
        <v>10000</v>
      </c>
      <c r="G240" s="104">
        <v>367.2</v>
      </c>
      <c r="H240" s="104">
        <v>40000</v>
      </c>
      <c r="I240" s="235">
        <f>'GENERAL EXPENDITURE'!I109</f>
        <v>367.2</v>
      </c>
      <c r="J240" s="80">
        <f>'GENERAL EXPENDITURE'!J109</f>
        <v>30000</v>
      </c>
      <c r="K240" s="27">
        <v>9101.7000000000007</v>
      </c>
      <c r="L240" s="27"/>
    </row>
    <row r="241" spans="1:12" s="35" customFormat="1">
      <c r="A241" s="79">
        <v>274</v>
      </c>
      <c r="B241" s="79">
        <v>195</v>
      </c>
      <c r="C241" s="79" t="s">
        <v>38</v>
      </c>
      <c r="D241" s="104">
        <v>270000</v>
      </c>
      <c r="E241" s="104">
        <v>137110.64000000001</v>
      </c>
      <c r="F241" s="104">
        <v>206000</v>
      </c>
      <c r="G241" s="104">
        <v>209844.2</v>
      </c>
      <c r="H241" s="104">
        <v>400000</v>
      </c>
      <c r="I241" s="235">
        <f>'GENERAL EXPENDITURE'!I128</f>
        <v>212927.39</v>
      </c>
      <c r="J241" s="84">
        <f>'GENERAL EXPENDITURE'!J128</f>
        <v>200000</v>
      </c>
      <c r="K241" s="38">
        <v>205665.96000000002</v>
      </c>
    </row>
    <row r="242" spans="1:12" s="35" customFormat="1">
      <c r="A242" s="79">
        <v>275</v>
      </c>
      <c r="B242" s="79">
        <v>195</v>
      </c>
      <c r="C242" s="79" t="s">
        <v>38</v>
      </c>
      <c r="D242" s="104">
        <v>40000</v>
      </c>
      <c r="E242" s="104">
        <v>2302.12</v>
      </c>
      <c r="F242" s="104">
        <v>10000</v>
      </c>
      <c r="G242" s="104">
        <v>21248.62</v>
      </c>
      <c r="H242" s="104">
        <v>50000</v>
      </c>
      <c r="I242" s="235">
        <f>'GENERAL EXPENDITURE'!I143</f>
        <v>21248.62</v>
      </c>
      <c r="J242" s="84">
        <f>'GENERAL EXPENDITURE'!J143</f>
        <v>60000</v>
      </c>
      <c r="K242" s="38">
        <v>3453.18</v>
      </c>
    </row>
    <row r="243" spans="1:12">
      <c r="A243" s="13">
        <v>281</v>
      </c>
      <c r="B243" s="13">
        <v>195</v>
      </c>
      <c r="C243" s="13" t="s">
        <v>38</v>
      </c>
      <c r="D243" s="104">
        <v>2500</v>
      </c>
      <c r="E243" s="104">
        <v>0</v>
      </c>
      <c r="F243" s="104">
        <v>0</v>
      </c>
      <c r="G243" s="104">
        <v>21255.759999999998</v>
      </c>
      <c r="H243" s="104">
        <v>40000</v>
      </c>
      <c r="I243" s="235">
        <f>'GENERAL EXPENDITURE'!I154</f>
        <v>21255.759999999998</v>
      </c>
      <c r="J243" s="80">
        <f>'GENERAL EXPENDITURE'!J154</f>
        <v>40000</v>
      </c>
      <c r="K243" s="27"/>
      <c r="L243" s="27"/>
    </row>
    <row r="244" spans="1:12" s="35" customFormat="1">
      <c r="A244" s="79">
        <v>290</v>
      </c>
      <c r="B244" s="79">
        <v>195</v>
      </c>
      <c r="C244" s="79" t="s">
        <v>38</v>
      </c>
      <c r="D244" s="104">
        <v>80000</v>
      </c>
      <c r="E244" s="104">
        <v>24216.17</v>
      </c>
      <c r="F244" s="104">
        <v>40000</v>
      </c>
      <c r="G244" s="104">
        <v>77391.66</v>
      </c>
      <c r="H244" s="104">
        <v>140000</v>
      </c>
      <c r="I244" s="235">
        <f>'GENERAL EXPENDITURE'!I163</f>
        <v>80672.429999999993</v>
      </c>
      <c r="J244" s="84">
        <f>'GENERAL EXPENDITURE'!J163</f>
        <v>50000</v>
      </c>
      <c r="K244" s="38">
        <v>36324.254999999997</v>
      </c>
    </row>
    <row r="245" spans="1:12" s="35" customFormat="1">
      <c r="A245" s="79">
        <v>291</v>
      </c>
      <c r="B245" s="79">
        <v>195</v>
      </c>
      <c r="C245" s="79" t="s">
        <v>38</v>
      </c>
      <c r="D245" s="104">
        <v>5000</v>
      </c>
      <c r="E245" s="104">
        <v>3523.87</v>
      </c>
      <c r="F245" s="104">
        <v>20000</v>
      </c>
      <c r="G245" s="104">
        <v>12266.18</v>
      </c>
      <c r="H245" s="104">
        <v>33033</v>
      </c>
      <c r="I245" s="235">
        <f>'GENERAL EXPENDITURE'!I175</f>
        <v>12266.18</v>
      </c>
      <c r="J245" s="84">
        <f>'GENERAL EXPENDITURE'!J175</f>
        <v>30000</v>
      </c>
      <c r="K245" s="38">
        <v>5285.8050000000003</v>
      </c>
    </row>
    <row r="246" spans="1:12" s="35" customFormat="1">
      <c r="A246" s="79">
        <v>293</v>
      </c>
      <c r="B246" s="79">
        <v>195</v>
      </c>
      <c r="C246" s="79" t="s">
        <v>38</v>
      </c>
      <c r="D246" s="104">
        <v>58000</v>
      </c>
      <c r="E246" s="104">
        <v>43037.27</v>
      </c>
      <c r="F246" s="104">
        <v>58000</v>
      </c>
      <c r="G246" s="104">
        <v>51359.11</v>
      </c>
      <c r="H246" s="104">
        <v>100000</v>
      </c>
      <c r="I246" s="235">
        <f>'GENERAL EXPENDITURE'!I188</f>
        <v>56831.78</v>
      </c>
      <c r="J246" s="84">
        <f>'GENERAL EXPENDITURE'!J188</f>
        <v>100000</v>
      </c>
      <c r="K246" s="38">
        <v>64555.904999999999</v>
      </c>
    </row>
    <row r="247" spans="1:12">
      <c r="A247" s="42"/>
      <c r="B247" s="42"/>
      <c r="C247" s="42"/>
      <c r="D247" s="107">
        <f t="shared" ref="D247:J247" si="45">SUM(D230:D246)</f>
        <v>2065600</v>
      </c>
      <c r="E247" s="107">
        <f t="shared" si="45"/>
        <v>1448390.2100000004</v>
      </c>
      <c r="F247" s="107">
        <f t="shared" si="45"/>
        <v>1853600</v>
      </c>
      <c r="G247" s="107">
        <f t="shared" si="45"/>
        <v>1664159.47</v>
      </c>
      <c r="H247" s="107">
        <f t="shared" si="45"/>
        <v>2962133</v>
      </c>
      <c r="I247" s="237">
        <f t="shared" si="45"/>
        <v>1972316.13</v>
      </c>
      <c r="J247" s="92">
        <f t="shared" si="45"/>
        <v>3056606.8285714285</v>
      </c>
      <c r="K247" s="27"/>
      <c r="L247" s="27"/>
    </row>
    <row r="248" spans="1:12">
      <c r="A248" s="42"/>
      <c r="B248" s="42"/>
      <c r="C248" s="42"/>
      <c r="D248" s="106"/>
      <c r="E248" s="106"/>
      <c r="F248" s="107"/>
      <c r="G248" s="107"/>
      <c r="H248" s="107"/>
      <c r="I248" s="237"/>
      <c r="J248" s="55"/>
      <c r="K248" s="27"/>
      <c r="L248" s="27"/>
    </row>
    <row r="249" spans="1:12">
      <c r="A249" s="13">
        <v>244</v>
      </c>
      <c r="B249" s="13">
        <v>262</v>
      </c>
      <c r="C249" s="13" t="s">
        <v>212</v>
      </c>
      <c r="D249" s="104">
        <v>1000000</v>
      </c>
      <c r="E249" s="104">
        <v>75990</v>
      </c>
      <c r="F249" s="104">
        <v>1000000</v>
      </c>
      <c r="G249" s="104">
        <v>38969.050000000003</v>
      </c>
      <c r="H249" s="104">
        <v>1000000</v>
      </c>
      <c r="I249" s="235">
        <f>'GENERAL EXPENDITURE'!I72</f>
        <v>171322.03</v>
      </c>
      <c r="J249" s="80">
        <f>'GENERAL EXPENDITURE'!J72</f>
        <v>1000000</v>
      </c>
      <c r="K249" s="27">
        <v>113985</v>
      </c>
      <c r="L249" s="27"/>
    </row>
    <row r="250" spans="1:12">
      <c r="A250" s="13">
        <v>268</v>
      </c>
      <c r="B250" s="13">
        <v>262</v>
      </c>
      <c r="C250" s="13" t="s">
        <v>212</v>
      </c>
      <c r="D250" s="104">
        <v>35000</v>
      </c>
      <c r="E250" s="104">
        <v>19000</v>
      </c>
      <c r="F250" s="104">
        <v>0</v>
      </c>
      <c r="G250" s="104">
        <v>0</v>
      </c>
      <c r="H250" s="104">
        <v>0</v>
      </c>
      <c r="I250" s="235">
        <f>'GENERAL EXPENDITURE'!I114</f>
        <v>0</v>
      </c>
      <c r="J250" s="80">
        <f>'GENERAL EXPENDITURE'!J114</f>
        <v>0</v>
      </c>
      <c r="K250" s="27">
        <v>28500</v>
      </c>
      <c r="L250" s="27"/>
    </row>
    <row r="251" spans="1:12">
      <c r="A251" s="13">
        <v>281</v>
      </c>
      <c r="B251" s="13">
        <v>262</v>
      </c>
      <c r="C251" s="13" t="s">
        <v>212</v>
      </c>
      <c r="D251" s="104">
        <v>200000</v>
      </c>
      <c r="E251" s="104">
        <v>173500</v>
      </c>
      <c r="F251" s="104">
        <v>0</v>
      </c>
      <c r="G251" s="104">
        <v>0</v>
      </c>
      <c r="H251" s="104">
        <v>0</v>
      </c>
      <c r="I251" s="235">
        <f>'GENERAL EXPENDITURE'!I156</f>
        <v>0</v>
      </c>
      <c r="J251" s="80">
        <f>'GENERAL EXPENDITURE'!J156</f>
        <v>0</v>
      </c>
      <c r="K251" s="27"/>
      <c r="L251" s="27"/>
    </row>
    <row r="252" spans="1:12" s="35" customFormat="1">
      <c r="A252" s="79">
        <v>291</v>
      </c>
      <c r="B252" s="79">
        <v>262</v>
      </c>
      <c r="C252" s="79" t="s">
        <v>212</v>
      </c>
      <c r="D252" s="104">
        <v>159000</v>
      </c>
      <c r="E252" s="104">
        <v>1017.72</v>
      </c>
      <c r="F252" s="104">
        <v>0</v>
      </c>
      <c r="G252" s="104">
        <v>0</v>
      </c>
      <c r="H252" s="104">
        <v>0</v>
      </c>
      <c r="I252" s="235">
        <f>'GENERAL EXPENDITURE'!I177</f>
        <v>1109.82</v>
      </c>
      <c r="J252" s="84">
        <f>'GENERAL EXPENDITURE'!J177</f>
        <v>0</v>
      </c>
      <c r="K252" s="38">
        <v>1526.58</v>
      </c>
    </row>
    <row r="253" spans="1:12" s="35" customFormat="1">
      <c r="A253" s="79">
        <v>293</v>
      </c>
      <c r="B253" s="79">
        <v>262</v>
      </c>
      <c r="C253" s="79" t="s">
        <v>1063</v>
      </c>
      <c r="D253" s="104"/>
      <c r="E253" s="104"/>
      <c r="F253" s="104">
        <v>0</v>
      </c>
      <c r="G253" s="104">
        <v>760.63</v>
      </c>
      <c r="H253" s="104">
        <v>0</v>
      </c>
      <c r="I253" s="250">
        <v>760.63</v>
      </c>
      <c r="J253" s="84">
        <v>0</v>
      </c>
      <c r="K253" s="38"/>
    </row>
    <row r="254" spans="1:12">
      <c r="A254" s="42"/>
      <c r="B254" s="42"/>
      <c r="C254" s="42"/>
      <c r="D254" s="107">
        <f t="shared" ref="D254:J254" si="46">SUM(D249:D253)</f>
        <v>1394000</v>
      </c>
      <c r="E254" s="107">
        <f t="shared" si="46"/>
        <v>269507.71999999997</v>
      </c>
      <c r="F254" s="107">
        <f t="shared" si="46"/>
        <v>1000000</v>
      </c>
      <c r="G254" s="107">
        <f t="shared" si="46"/>
        <v>39729.68</v>
      </c>
      <c r="H254" s="107">
        <f t="shared" si="46"/>
        <v>1000000</v>
      </c>
      <c r="I254" s="237">
        <f t="shared" si="46"/>
        <v>173192.48</v>
      </c>
      <c r="J254" s="92">
        <f t="shared" si="46"/>
        <v>1000000</v>
      </c>
      <c r="K254" s="27"/>
      <c r="L254" s="27"/>
    </row>
    <row r="255" spans="1:12">
      <c r="A255" s="42"/>
      <c r="B255" s="42"/>
      <c r="C255" s="42"/>
      <c r="D255" s="106"/>
      <c r="E255" s="106"/>
      <c r="F255" s="107"/>
      <c r="G255" s="107"/>
      <c r="H255" s="107"/>
      <c r="I255" s="237"/>
      <c r="J255" s="55"/>
      <c r="K255" s="27"/>
      <c r="L255" s="27"/>
    </row>
    <row r="256" spans="1:12" s="35" customFormat="1">
      <c r="A256" s="79">
        <v>293</v>
      </c>
      <c r="B256" s="79">
        <v>255</v>
      </c>
      <c r="C256" s="79" t="s">
        <v>639</v>
      </c>
      <c r="D256" s="104">
        <v>200000</v>
      </c>
      <c r="E256" s="104">
        <v>1476.05</v>
      </c>
      <c r="F256" s="104">
        <v>500000</v>
      </c>
      <c r="G256" s="104">
        <v>8.77</v>
      </c>
      <c r="H256" s="104">
        <v>500000</v>
      </c>
      <c r="I256" s="235">
        <f>'GENERAL EXPENDITURE'!I193</f>
        <v>8.77</v>
      </c>
      <c r="J256" s="84">
        <f>'GENERAL EXPENDITURE'!J193</f>
        <v>200000</v>
      </c>
      <c r="K256" s="38">
        <f>+E256/8*12</f>
        <v>2214.0749999999998</v>
      </c>
    </row>
    <row r="257" spans="1:12" s="35" customFormat="1">
      <c r="A257" s="90"/>
      <c r="B257" s="90"/>
      <c r="C257" s="90"/>
      <c r="D257" s="107">
        <f t="shared" ref="D257:I257" si="47">D256</f>
        <v>200000</v>
      </c>
      <c r="E257" s="107">
        <f t="shared" si="47"/>
        <v>1476.05</v>
      </c>
      <c r="F257" s="107">
        <f t="shared" si="47"/>
        <v>500000</v>
      </c>
      <c r="G257" s="107">
        <f t="shared" si="47"/>
        <v>8.77</v>
      </c>
      <c r="H257" s="107">
        <f t="shared" si="47"/>
        <v>500000</v>
      </c>
      <c r="I257" s="237">
        <f t="shared" si="47"/>
        <v>8.77</v>
      </c>
      <c r="J257" s="92">
        <f>J256</f>
        <v>200000</v>
      </c>
      <c r="K257" s="38"/>
    </row>
    <row r="258" spans="1:12" s="35" customFormat="1">
      <c r="A258" s="90"/>
      <c r="B258" s="90"/>
      <c r="C258" s="90"/>
      <c r="D258" s="106"/>
      <c r="E258" s="106"/>
      <c r="F258" s="107"/>
      <c r="G258" s="107"/>
      <c r="H258" s="107"/>
      <c r="I258" s="237"/>
      <c r="J258" s="92"/>
      <c r="K258" s="38"/>
    </row>
    <row r="259" spans="1:12">
      <c r="A259" s="13">
        <v>262</v>
      </c>
      <c r="B259" s="13">
        <v>254</v>
      </c>
      <c r="C259" s="13" t="s">
        <v>285</v>
      </c>
      <c r="D259" s="104">
        <v>8000</v>
      </c>
      <c r="E259" s="104">
        <v>15898.89</v>
      </c>
      <c r="F259" s="104">
        <v>30000</v>
      </c>
      <c r="G259" s="104">
        <v>0</v>
      </c>
      <c r="H259" s="104">
        <v>30000</v>
      </c>
      <c r="I259" s="235">
        <f>'GENERAL EXPENDITURE'!I92</f>
        <v>0</v>
      </c>
      <c r="J259" s="80">
        <f>'GENERAL EXPENDITURE'!J92</f>
        <v>0</v>
      </c>
      <c r="K259" s="27">
        <f>+E259/8*12</f>
        <v>23848.334999999999</v>
      </c>
      <c r="L259" s="27"/>
    </row>
    <row r="260" spans="1:12">
      <c r="D260" s="105">
        <f t="shared" ref="D260:I260" si="48">D259</f>
        <v>8000</v>
      </c>
      <c r="E260" s="105">
        <f t="shared" si="48"/>
        <v>15898.89</v>
      </c>
      <c r="F260" s="105">
        <f t="shared" si="48"/>
        <v>30000</v>
      </c>
      <c r="G260" s="105">
        <f t="shared" si="48"/>
        <v>0</v>
      </c>
      <c r="H260" s="105">
        <f t="shared" si="48"/>
        <v>30000</v>
      </c>
      <c r="I260" s="236">
        <f t="shared" si="48"/>
        <v>0</v>
      </c>
      <c r="J260" s="74">
        <f>J259</f>
        <v>0</v>
      </c>
    </row>
    <row r="261" spans="1:12">
      <c r="D261" s="159"/>
      <c r="E261" s="159"/>
      <c r="F261" s="159"/>
      <c r="G261" s="159"/>
      <c r="H261" s="159"/>
      <c r="I261" s="243"/>
    </row>
    <row r="262" spans="1:12" ht="15.75" thickBot="1">
      <c r="D262" s="159"/>
      <c r="E262" s="159"/>
      <c r="F262" s="159"/>
      <c r="G262" s="159"/>
      <c r="H262" s="159"/>
      <c r="I262" s="243"/>
    </row>
    <row r="263" spans="1:12" ht="15.75" thickBot="1">
      <c r="A263" s="151" t="s">
        <v>1037</v>
      </c>
      <c r="B263" s="149"/>
      <c r="C263" s="149"/>
      <c r="D263" s="266"/>
      <c r="E263" s="244"/>
      <c r="F263" s="155" t="s">
        <v>1102</v>
      </c>
      <c r="G263" s="155" t="s">
        <v>1104</v>
      </c>
      <c r="H263" s="155" t="s">
        <v>1103</v>
      </c>
      <c r="I263" s="155" t="s">
        <v>1118</v>
      </c>
      <c r="J263" s="152" t="s">
        <v>1117</v>
      </c>
    </row>
    <row r="264" spans="1:12">
      <c r="D264" s="159"/>
      <c r="E264" s="159"/>
      <c r="F264" s="159"/>
      <c r="G264" s="159"/>
      <c r="H264" s="159"/>
      <c r="I264" s="243"/>
    </row>
    <row r="265" spans="1:12">
      <c r="D265" s="159"/>
      <c r="E265" s="159"/>
      <c r="F265" s="159"/>
      <c r="G265" s="159"/>
      <c r="H265" s="159"/>
      <c r="I265" s="243"/>
    </row>
    <row r="266" spans="1:12">
      <c r="A266" t="s">
        <v>1038</v>
      </c>
      <c r="D266" s="159"/>
      <c r="E266" s="159"/>
      <c r="F266" s="102">
        <f>F5</f>
        <v>210000</v>
      </c>
      <c r="G266" s="102">
        <f>G5</f>
        <v>53814.21</v>
      </c>
      <c r="H266" s="102">
        <f>H5</f>
        <v>140000</v>
      </c>
      <c r="I266" s="239">
        <f>I5</f>
        <v>53784.21</v>
      </c>
      <c r="J266" s="371">
        <f>J5</f>
        <v>140000</v>
      </c>
    </row>
    <row r="267" spans="1:12">
      <c r="A267" t="s">
        <v>1039</v>
      </c>
      <c r="D267" s="159"/>
      <c r="E267" s="159"/>
      <c r="F267" s="102">
        <f>F8</f>
        <v>200000</v>
      </c>
      <c r="G267" s="102">
        <f>G8</f>
        <v>0</v>
      </c>
      <c r="H267" s="102">
        <f>H8</f>
        <v>200000</v>
      </c>
      <c r="I267" s="239">
        <f>I8</f>
        <v>0</v>
      </c>
      <c r="J267" s="38">
        <f>J8</f>
        <v>350000</v>
      </c>
    </row>
    <row r="268" spans="1:12">
      <c r="A268" t="s">
        <v>1040</v>
      </c>
      <c r="D268" s="159"/>
      <c r="E268" s="159"/>
      <c r="F268" s="102">
        <f>F11</f>
        <v>150000</v>
      </c>
      <c r="G268" s="102">
        <f>G11</f>
        <v>112289.64</v>
      </c>
      <c r="H268" s="102">
        <f>H11</f>
        <v>50000</v>
      </c>
      <c r="I268" s="239">
        <f>I11</f>
        <v>112289.64</v>
      </c>
      <c r="J268" s="38">
        <f>J11</f>
        <v>192496.52571428573</v>
      </c>
    </row>
    <row r="269" spans="1:12">
      <c r="A269" t="s">
        <v>1041</v>
      </c>
      <c r="D269" s="159"/>
      <c r="E269" s="159"/>
      <c r="F269" s="102">
        <f>F14</f>
        <v>4000000</v>
      </c>
      <c r="G269" s="102">
        <f>G14</f>
        <v>3445319.22</v>
      </c>
      <c r="H269" s="102">
        <f>H14</f>
        <v>7000000</v>
      </c>
      <c r="I269" s="239">
        <f>I14</f>
        <v>4495378.93</v>
      </c>
      <c r="J269" s="371">
        <f>J14</f>
        <v>5000000</v>
      </c>
    </row>
    <row r="270" spans="1:12">
      <c r="A270" t="s">
        <v>1133</v>
      </c>
      <c r="D270" s="159"/>
      <c r="E270" s="159"/>
      <c r="F270" s="102">
        <v>0</v>
      </c>
      <c r="G270" s="102">
        <v>0</v>
      </c>
      <c r="H270" s="102">
        <v>0</v>
      </c>
      <c r="I270" s="239">
        <f>I17</f>
        <v>0</v>
      </c>
      <c r="J270" s="38">
        <v>0</v>
      </c>
    </row>
    <row r="271" spans="1:12">
      <c r="A271" t="s">
        <v>1080</v>
      </c>
      <c r="D271" s="159"/>
      <c r="E271" s="159"/>
      <c r="F271" s="102">
        <f>F21</f>
        <v>531500</v>
      </c>
      <c r="G271" s="102">
        <f>G21</f>
        <v>277036.19</v>
      </c>
      <c r="H271" s="102">
        <f>H21</f>
        <v>531500</v>
      </c>
      <c r="I271" s="239">
        <f>I21</f>
        <v>328075.05000000005</v>
      </c>
      <c r="J271" s="371">
        <f>J21</f>
        <v>580200</v>
      </c>
    </row>
    <row r="272" spans="1:12">
      <c r="A272" t="s">
        <v>1152</v>
      </c>
      <c r="D272" s="159"/>
      <c r="E272" s="159"/>
      <c r="F272" s="102"/>
      <c r="G272" s="102"/>
      <c r="H272" s="102"/>
      <c r="I272" s="239"/>
      <c r="J272" s="371">
        <f>J27</f>
        <v>250000</v>
      </c>
    </row>
    <row r="273" spans="1:10">
      <c r="A273" t="s">
        <v>1042</v>
      </c>
      <c r="D273" s="159"/>
      <c r="E273" s="159"/>
      <c r="F273" s="102">
        <f>F24</f>
        <v>120000</v>
      </c>
      <c r="G273" s="102">
        <f>G24</f>
        <v>94742</v>
      </c>
      <c r="H273" s="102">
        <f>H24</f>
        <v>150000</v>
      </c>
      <c r="I273" s="239">
        <f>I24</f>
        <v>94742</v>
      </c>
      <c r="J273" s="371">
        <f>J24</f>
        <v>162414.85714285716</v>
      </c>
    </row>
    <row r="274" spans="1:10">
      <c r="A274" t="s">
        <v>1043</v>
      </c>
      <c r="D274" s="159"/>
      <c r="E274" s="159"/>
      <c r="F274" s="102">
        <f>F30</f>
        <v>600</v>
      </c>
      <c r="G274" s="102">
        <f>G30</f>
        <v>0</v>
      </c>
      <c r="H274" s="102">
        <f>H30</f>
        <v>6000</v>
      </c>
      <c r="I274" s="239">
        <f>I30</f>
        <v>0</v>
      </c>
      <c r="J274" s="38">
        <f>J30</f>
        <v>0</v>
      </c>
    </row>
    <row r="275" spans="1:10">
      <c r="A275" t="s">
        <v>137</v>
      </c>
      <c r="D275" s="159"/>
      <c r="E275" s="159"/>
      <c r="F275" s="102">
        <f>F36</f>
        <v>1650000</v>
      </c>
      <c r="G275" s="102">
        <f>G36</f>
        <v>546468.68999999994</v>
      </c>
      <c r="H275" s="102">
        <f>H36</f>
        <v>1450000</v>
      </c>
      <c r="I275" s="239">
        <f>I36</f>
        <v>546468.68999999994</v>
      </c>
      <c r="J275" s="371">
        <f>J36</f>
        <v>1190000</v>
      </c>
    </row>
    <row r="276" spans="1:10">
      <c r="A276" t="s">
        <v>344</v>
      </c>
      <c r="D276" s="159"/>
      <c r="E276" s="159"/>
      <c r="F276" s="102">
        <f>F40</f>
        <v>1200000</v>
      </c>
      <c r="G276" s="102">
        <f>G40</f>
        <v>285170.38</v>
      </c>
      <c r="H276" s="102">
        <f>H40</f>
        <v>1290000</v>
      </c>
      <c r="I276" s="239">
        <f>I40</f>
        <v>356966.38</v>
      </c>
      <c r="J276" s="38">
        <f>J40</f>
        <v>600000</v>
      </c>
    </row>
    <row r="277" spans="1:10">
      <c r="A277" t="s">
        <v>1044</v>
      </c>
      <c r="D277" s="159"/>
      <c r="E277" s="159"/>
      <c r="F277" s="102">
        <f>F43</f>
        <v>500000</v>
      </c>
      <c r="G277" s="102">
        <f>G43</f>
        <v>267728</v>
      </c>
      <c r="H277" s="102">
        <f>H43</f>
        <v>500000</v>
      </c>
      <c r="I277" s="239">
        <f>I43</f>
        <v>267728</v>
      </c>
      <c r="J277" s="38">
        <f>J43</f>
        <v>500000</v>
      </c>
    </row>
    <row r="278" spans="1:10">
      <c r="A278" t="s">
        <v>1153</v>
      </c>
      <c r="D278" s="159"/>
      <c r="E278" s="159"/>
      <c r="F278" s="102"/>
      <c r="G278" s="102"/>
      <c r="H278" s="102"/>
      <c r="I278" s="239"/>
      <c r="J278" s="38">
        <f>J49</f>
        <v>300000</v>
      </c>
    </row>
    <row r="279" spans="1:10">
      <c r="A279" t="s">
        <v>1045</v>
      </c>
      <c r="D279" s="159"/>
      <c r="E279" s="159"/>
      <c r="F279" s="102">
        <f>F46</f>
        <v>682930</v>
      </c>
      <c r="G279" s="102">
        <f>G46</f>
        <v>326919.09999999998</v>
      </c>
      <c r="H279" s="102">
        <f>H46</f>
        <v>682930</v>
      </c>
      <c r="I279" s="239">
        <f>I46</f>
        <v>342767.1</v>
      </c>
      <c r="J279" s="38">
        <f>J46</f>
        <v>622856.78</v>
      </c>
    </row>
    <row r="280" spans="1:10">
      <c r="A280" t="s">
        <v>1046</v>
      </c>
      <c r="D280" s="159"/>
      <c r="E280" s="159"/>
      <c r="F280" s="38">
        <f>F51</f>
        <v>198000</v>
      </c>
      <c r="G280" s="38">
        <f>G51</f>
        <v>116724.08</v>
      </c>
      <c r="H280" s="38">
        <f>H51</f>
        <v>220000</v>
      </c>
      <c r="I280" s="38">
        <f>I51</f>
        <v>135931.84</v>
      </c>
      <c r="J280" s="38">
        <f>J51</f>
        <v>233026</v>
      </c>
    </row>
    <row r="281" spans="1:10">
      <c r="A281" t="s">
        <v>1047</v>
      </c>
      <c r="D281" s="159"/>
      <c r="E281" s="159"/>
      <c r="F281" s="102">
        <f>F58</f>
        <v>162600</v>
      </c>
      <c r="G281" s="102">
        <f>G58</f>
        <v>141179.63</v>
      </c>
      <c r="H281" s="102">
        <f>H58</f>
        <v>174000</v>
      </c>
      <c r="I281" s="239">
        <f>I58</f>
        <v>168506.58000000002</v>
      </c>
      <c r="J281" s="371">
        <f>J58</f>
        <v>262000</v>
      </c>
    </row>
    <row r="282" spans="1:10">
      <c r="A282" t="s">
        <v>1048</v>
      </c>
      <c r="D282" s="159"/>
      <c r="E282" s="159"/>
      <c r="F282" s="102">
        <f>F62</f>
        <v>478000</v>
      </c>
      <c r="G282" s="102">
        <f>G62</f>
        <v>315823.44</v>
      </c>
      <c r="H282" s="102">
        <f>H62</f>
        <v>500000</v>
      </c>
      <c r="I282" s="239">
        <f>I62</f>
        <v>361949.24</v>
      </c>
      <c r="J282" s="38">
        <f>J62</f>
        <v>620484.41142857145</v>
      </c>
    </row>
    <row r="283" spans="1:10">
      <c r="A283" t="s">
        <v>577</v>
      </c>
      <c r="D283" s="159"/>
      <c r="E283" s="159"/>
      <c r="F283" s="102">
        <f>F70</f>
        <v>7808263.2171</v>
      </c>
      <c r="G283" s="102">
        <f>G70</f>
        <v>9060639.6999999993</v>
      </c>
      <c r="H283" s="102">
        <f>H70</f>
        <v>7936000</v>
      </c>
      <c r="I283" s="239">
        <f>I70</f>
        <v>13059503.93</v>
      </c>
      <c r="J283" s="38">
        <f>J70</f>
        <v>13478130.85</v>
      </c>
    </row>
    <row r="284" spans="1:10">
      <c r="A284" t="s">
        <v>141</v>
      </c>
      <c r="D284" s="159"/>
      <c r="E284" s="159"/>
      <c r="F284" s="102">
        <f>F74</f>
        <v>300000</v>
      </c>
      <c r="G284" s="102">
        <f>G74</f>
        <v>18000</v>
      </c>
      <c r="H284" s="102">
        <f>H74</f>
        <v>40000</v>
      </c>
      <c r="I284" s="239">
        <f>I74</f>
        <v>18000</v>
      </c>
      <c r="J284" s="38">
        <f>J74</f>
        <v>50000</v>
      </c>
    </row>
    <row r="285" spans="1:10">
      <c r="A285" t="s">
        <v>1049</v>
      </c>
      <c r="D285" s="159"/>
      <c r="E285" s="159"/>
      <c r="F285" s="102">
        <f>F87</f>
        <v>2000000</v>
      </c>
      <c r="G285" s="102">
        <f>G87</f>
        <v>87613.099999999991</v>
      </c>
      <c r="H285" s="102">
        <f>H87</f>
        <v>740000</v>
      </c>
      <c r="I285" s="239">
        <f>I87</f>
        <v>133975.09999999998</v>
      </c>
      <c r="J285" s="371">
        <f>J87</f>
        <v>731456.90285714285</v>
      </c>
    </row>
    <row r="286" spans="1:10">
      <c r="A286" t="s">
        <v>1050</v>
      </c>
      <c r="D286" s="159"/>
      <c r="E286" s="159"/>
      <c r="F286" s="102">
        <f>F90</f>
        <v>75000</v>
      </c>
      <c r="G286" s="102">
        <f>G90</f>
        <v>5166.97</v>
      </c>
      <c r="H286" s="102">
        <f>H90</f>
        <v>75000</v>
      </c>
      <c r="I286" s="239">
        <f>I90</f>
        <v>34666.67</v>
      </c>
      <c r="J286" s="38">
        <f>J90</f>
        <v>65000</v>
      </c>
    </row>
    <row r="287" spans="1:10">
      <c r="A287" t="s">
        <v>284</v>
      </c>
      <c r="D287" s="159"/>
      <c r="E287" s="159"/>
      <c r="F287" s="102">
        <f>F93</f>
        <v>40000</v>
      </c>
      <c r="G287" s="102">
        <f>G93</f>
        <v>0</v>
      </c>
      <c r="H287" s="102">
        <f>H93</f>
        <v>100000</v>
      </c>
      <c r="I287" s="239">
        <f>I93</f>
        <v>0</v>
      </c>
      <c r="J287" s="38">
        <f>J93</f>
        <v>50000</v>
      </c>
    </row>
    <row r="288" spans="1:10">
      <c r="A288" t="s">
        <v>71</v>
      </c>
      <c r="D288" s="159"/>
      <c r="E288" s="159"/>
      <c r="F288" s="102">
        <f>F96</f>
        <v>200000</v>
      </c>
      <c r="G288" s="102">
        <f>G96</f>
        <v>0</v>
      </c>
      <c r="H288" s="102">
        <f>H96</f>
        <v>200000</v>
      </c>
      <c r="I288" s="239">
        <f>I96</f>
        <v>0</v>
      </c>
      <c r="J288" s="38">
        <f>J96</f>
        <v>350000</v>
      </c>
    </row>
    <row r="289" spans="1:10">
      <c r="A289" t="s">
        <v>1132</v>
      </c>
      <c r="D289" s="159"/>
      <c r="E289" s="159"/>
      <c r="F289" s="102">
        <f>F99</f>
        <v>0</v>
      </c>
      <c r="G289" s="102">
        <f>G99</f>
        <v>0</v>
      </c>
      <c r="H289" s="102">
        <f>H99</f>
        <v>0</v>
      </c>
      <c r="I289" s="239">
        <f>I99</f>
        <v>0</v>
      </c>
      <c r="J289" s="38">
        <f>J99</f>
        <v>0</v>
      </c>
    </row>
    <row r="290" spans="1:10">
      <c r="A290" s="35" t="s">
        <v>140</v>
      </c>
      <c r="B290" s="35"/>
      <c r="C290" s="35"/>
      <c r="D290" s="159"/>
      <c r="E290" s="159"/>
      <c r="F290" s="102">
        <f>F102</f>
        <v>0</v>
      </c>
      <c r="G290" s="102">
        <f>G102</f>
        <v>0</v>
      </c>
      <c r="H290" s="102">
        <f>H102</f>
        <v>20000</v>
      </c>
      <c r="I290" s="239">
        <f>I102</f>
        <v>0</v>
      </c>
      <c r="J290" s="38">
        <f>J102</f>
        <v>0</v>
      </c>
    </row>
    <row r="291" spans="1:10">
      <c r="A291" t="s">
        <v>1051</v>
      </c>
      <c r="D291" s="159"/>
      <c r="E291" s="159"/>
      <c r="F291" s="102">
        <f>F105</f>
        <v>50000</v>
      </c>
      <c r="G291" s="102">
        <f>G105</f>
        <v>0</v>
      </c>
      <c r="H291" s="102">
        <f>H105</f>
        <v>50000</v>
      </c>
      <c r="I291" s="239">
        <f>I105</f>
        <v>0</v>
      </c>
      <c r="J291" s="371">
        <f>J105</f>
        <v>25000</v>
      </c>
    </row>
    <row r="292" spans="1:10">
      <c r="A292" t="s">
        <v>1052</v>
      </c>
      <c r="D292" s="159"/>
      <c r="E292" s="159"/>
      <c r="F292" s="102">
        <f>F108</f>
        <v>135000</v>
      </c>
      <c r="G292" s="102">
        <f>G108</f>
        <v>27461.52</v>
      </c>
      <c r="H292" s="102">
        <f>H108</f>
        <v>135000</v>
      </c>
      <c r="I292" s="239">
        <f>I108</f>
        <v>27461.52</v>
      </c>
      <c r="J292" s="38">
        <f>J108</f>
        <v>300000</v>
      </c>
    </row>
    <row r="293" spans="1:10">
      <c r="A293" t="s">
        <v>1053</v>
      </c>
      <c r="D293" s="159"/>
      <c r="E293" s="159"/>
      <c r="F293" s="102">
        <f>F111</f>
        <v>1200000</v>
      </c>
      <c r="G293" s="102">
        <f>G111</f>
        <v>587793.82999999996</v>
      </c>
      <c r="H293" s="102">
        <f>H111</f>
        <v>1200000</v>
      </c>
      <c r="I293" s="239">
        <f>I111</f>
        <v>612536.43999999994</v>
      </c>
      <c r="J293" s="371">
        <f>J111</f>
        <v>1000000</v>
      </c>
    </row>
    <row r="294" spans="1:10">
      <c r="A294" t="s">
        <v>1054</v>
      </c>
      <c r="D294" s="159"/>
      <c r="E294" s="159"/>
      <c r="F294" s="102">
        <f>F116</f>
        <v>286000</v>
      </c>
      <c r="G294" s="102">
        <f>G116</f>
        <v>101095</v>
      </c>
      <c r="H294" s="102">
        <f>H116</f>
        <v>380000</v>
      </c>
      <c r="I294" s="239">
        <f>I116</f>
        <v>108095</v>
      </c>
      <c r="J294" s="371">
        <f>J116</f>
        <v>200000</v>
      </c>
    </row>
    <row r="295" spans="1:10">
      <c r="A295" t="s">
        <v>127</v>
      </c>
      <c r="D295" s="159"/>
      <c r="E295" s="159"/>
      <c r="F295" s="102">
        <f>F130</f>
        <v>590683</v>
      </c>
      <c r="G295" s="102">
        <f>G130</f>
        <v>511203.35</v>
      </c>
      <c r="H295" s="102">
        <f>H130</f>
        <v>892483</v>
      </c>
      <c r="I295" s="239">
        <f>I130</f>
        <v>533568.31999999995</v>
      </c>
      <c r="J295" s="38">
        <f>J130</f>
        <v>846000</v>
      </c>
    </row>
    <row r="296" spans="1:10">
      <c r="A296" s="35" t="s">
        <v>349</v>
      </c>
      <c r="B296" s="35"/>
      <c r="C296" s="35"/>
      <c r="D296" s="159"/>
      <c r="E296" s="159"/>
      <c r="F296" s="102">
        <f>F133</f>
        <v>0</v>
      </c>
      <c r="G296" s="102">
        <f>G133</f>
        <v>535304</v>
      </c>
      <c r="H296" s="102">
        <f>H133</f>
        <v>750000</v>
      </c>
      <c r="I296" s="239">
        <f>I133</f>
        <v>535304</v>
      </c>
      <c r="J296" s="38">
        <f>J133</f>
        <v>1026357.01</v>
      </c>
    </row>
    <row r="297" spans="1:10">
      <c r="A297" t="s">
        <v>1055</v>
      </c>
      <c r="D297" s="159"/>
      <c r="E297" s="159"/>
      <c r="F297" s="102">
        <f>F136</f>
        <v>750000</v>
      </c>
      <c r="G297" s="102">
        <f>G136</f>
        <v>12500</v>
      </c>
      <c r="H297" s="102">
        <f>H136</f>
        <v>300000</v>
      </c>
      <c r="I297" s="239">
        <f>I136</f>
        <v>12500</v>
      </c>
      <c r="J297" s="371">
        <f>J136</f>
        <v>400000</v>
      </c>
    </row>
    <row r="298" spans="1:10">
      <c r="A298" t="s">
        <v>412</v>
      </c>
      <c r="D298" s="106"/>
      <c r="E298" s="106">
        <v>150471.99</v>
      </c>
      <c r="F298" s="102">
        <f>F139</f>
        <v>0</v>
      </c>
      <c r="G298" s="102">
        <f>G139</f>
        <v>99935.95</v>
      </c>
      <c r="H298" s="102">
        <f>H139</f>
        <v>200000</v>
      </c>
      <c r="I298" s="239">
        <f>I139</f>
        <v>99935.95</v>
      </c>
      <c r="J298" s="38">
        <f>J139</f>
        <v>172000</v>
      </c>
    </row>
    <row r="299" spans="1:10">
      <c r="A299" t="s">
        <v>357</v>
      </c>
      <c r="D299" s="159"/>
      <c r="E299" s="159"/>
      <c r="F299" s="102">
        <f>F146</f>
        <v>1655000</v>
      </c>
      <c r="G299" s="102">
        <f>G146</f>
        <v>2131915.04</v>
      </c>
      <c r="H299" s="102">
        <f>H146</f>
        <v>1600000</v>
      </c>
      <c r="I299" s="239">
        <f>I146</f>
        <v>2057601.89</v>
      </c>
      <c r="J299" s="38">
        <f>J146</f>
        <v>1450000</v>
      </c>
    </row>
    <row r="300" spans="1:10">
      <c r="A300" t="s">
        <v>1056</v>
      </c>
      <c r="D300" s="159"/>
      <c r="E300" s="159"/>
      <c r="F300" s="102">
        <f>F150</f>
        <v>14000</v>
      </c>
      <c r="G300" s="102">
        <f>G150</f>
        <v>161658.95000000001</v>
      </c>
      <c r="H300" s="102">
        <f>H150</f>
        <v>317000</v>
      </c>
      <c r="I300" s="239">
        <f>I150</f>
        <v>163308.07</v>
      </c>
      <c r="J300" s="371">
        <f>J150</f>
        <v>520000</v>
      </c>
    </row>
    <row r="301" spans="1:10">
      <c r="A301" t="s">
        <v>255</v>
      </c>
      <c r="D301" s="159"/>
      <c r="E301" s="159"/>
      <c r="F301" s="102">
        <f>F162</f>
        <v>5180000</v>
      </c>
      <c r="G301" s="102">
        <f>G162</f>
        <v>3133430.3099999996</v>
      </c>
      <c r="H301" s="102">
        <f>H162</f>
        <v>6850000</v>
      </c>
      <c r="I301" s="239">
        <f>I162</f>
        <v>3236006.8</v>
      </c>
      <c r="J301" s="371">
        <f>J162</f>
        <v>5117822.3900000006</v>
      </c>
    </row>
    <row r="302" spans="1:10">
      <c r="A302" t="s">
        <v>1057</v>
      </c>
      <c r="D302" s="159"/>
      <c r="E302" s="159"/>
      <c r="F302" s="102">
        <f>F171</f>
        <v>380000</v>
      </c>
      <c r="G302" s="102">
        <f>G171</f>
        <v>236888.03</v>
      </c>
      <c r="H302" s="102">
        <f>H171</f>
        <v>413200</v>
      </c>
      <c r="I302" s="239">
        <f>I171</f>
        <v>291788.03000000003</v>
      </c>
      <c r="J302" s="38">
        <f>J171</f>
        <v>548322.33714285714</v>
      </c>
    </row>
    <row r="303" spans="1:10">
      <c r="A303" t="s">
        <v>1058</v>
      </c>
      <c r="D303" s="159"/>
      <c r="E303" s="159"/>
      <c r="F303" s="102">
        <f>F183</f>
        <v>316500</v>
      </c>
      <c r="G303" s="102">
        <f>G183</f>
        <v>213933.32</v>
      </c>
      <c r="H303" s="102">
        <f>H183</f>
        <v>250000</v>
      </c>
      <c r="I303" s="239">
        <f>I183</f>
        <v>217133.32</v>
      </c>
      <c r="J303" s="38">
        <f>J183</f>
        <v>403004.25714285712</v>
      </c>
    </row>
    <row r="304" spans="1:10">
      <c r="A304" t="s">
        <v>1059</v>
      </c>
      <c r="D304" s="159"/>
      <c r="E304" s="159"/>
      <c r="F304" s="102">
        <f>F188</f>
        <v>444000</v>
      </c>
      <c r="G304" s="102">
        <f>G188</f>
        <v>7400</v>
      </c>
      <c r="H304" s="102">
        <f>H188</f>
        <v>190000</v>
      </c>
      <c r="I304" s="239">
        <f>I188</f>
        <v>7400</v>
      </c>
      <c r="J304" s="38">
        <f>J188</f>
        <v>140000</v>
      </c>
    </row>
    <row r="305" spans="1:11">
      <c r="A305" t="s">
        <v>985</v>
      </c>
      <c r="D305" s="159"/>
      <c r="E305" s="159">
        <v>192203.79</v>
      </c>
      <c r="F305" s="102">
        <v>0</v>
      </c>
      <c r="G305" s="102">
        <v>401730</v>
      </c>
      <c r="H305" s="102">
        <v>0</v>
      </c>
      <c r="I305" s="239">
        <v>0</v>
      </c>
      <c r="J305" s="38">
        <f>J191</f>
        <v>1815000</v>
      </c>
    </row>
    <row r="306" spans="1:11" ht="409.6">
      <c r="A306" t="s">
        <v>613</v>
      </c>
      <c r="D306" s="159"/>
      <c r="E306" s="159"/>
      <c r="F306" s="102">
        <f>F194</f>
        <v>0</v>
      </c>
      <c r="G306" s="102">
        <f>G194</f>
        <v>0</v>
      </c>
      <c r="H306" s="102">
        <f>H194</f>
        <v>0</v>
      </c>
      <c r="I306" s="239">
        <f>I194</f>
        <v>0</v>
      </c>
      <c r="J306" s="38">
        <f>J194</f>
        <v>0</v>
      </c>
    </row>
    <row r="307" spans="1:11" ht="409.6">
      <c r="A307" t="s">
        <v>161</v>
      </c>
      <c r="D307" s="159"/>
      <c r="E307" s="159"/>
      <c r="F307" s="102">
        <f>F198</f>
        <v>450000</v>
      </c>
      <c r="G307" s="102">
        <f>G198</f>
        <v>537990.52</v>
      </c>
      <c r="H307" s="102">
        <f>H198</f>
        <v>800000</v>
      </c>
      <c r="I307" s="239">
        <f>I198</f>
        <v>566960.52</v>
      </c>
      <c r="J307" s="38">
        <f>J198</f>
        <v>950406.01142857142</v>
      </c>
    </row>
    <row r="308" spans="1:11" ht="409.6">
      <c r="A308" t="s">
        <v>142</v>
      </c>
      <c r="D308" s="159"/>
      <c r="E308" s="159"/>
      <c r="F308" s="102">
        <f>F201</f>
        <v>10000</v>
      </c>
      <c r="G308" s="102">
        <f>G201</f>
        <v>53049.74</v>
      </c>
      <c r="H308" s="102">
        <f>H201</f>
        <v>68000</v>
      </c>
      <c r="I308" s="239">
        <f>I201</f>
        <v>53049.74</v>
      </c>
      <c r="J308" s="38">
        <f>J201</f>
        <v>81730.16</v>
      </c>
    </row>
    <row r="309" spans="1:11" ht="409.6">
      <c r="A309" t="s">
        <v>1060</v>
      </c>
      <c r="D309" s="159"/>
      <c r="E309" s="159"/>
      <c r="F309" s="102">
        <f>F214</f>
        <v>2075900</v>
      </c>
      <c r="G309" s="102">
        <f>G214</f>
        <v>1114224.6800000002</v>
      </c>
      <c r="H309" s="102">
        <f>H214</f>
        <v>1791000</v>
      </c>
      <c r="I309" s="239">
        <f>I214</f>
        <v>1242488.5500000003</v>
      </c>
      <c r="J309" s="371">
        <f>J214</f>
        <v>1766935.7942857144</v>
      </c>
    </row>
    <row r="310" spans="1:11" ht="409.6">
      <c r="A310" t="s">
        <v>1061</v>
      </c>
      <c r="D310" s="159"/>
      <c r="E310" s="159"/>
      <c r="F310" s="102">
        <f>F217</f>
        <v>200000</v>
      </c>
      <c r="G310" s="102">
        <f>G217</f>
        <v>0</v>
      </c>
      <c r="H310" s="102">
        <f>H217</f>
        <v>0</v>
      </c>
      <c r="I310" s="239">
        <f>I217</f>
        <v>0</v>
      </c>
      <c r="J310" s="38">
        <f>J217</f>
        <v>0</v>
      </c>
    </row>
    <row r="311" spans="1:11" ht="409.6">
      <c r="A311" t="s">
        <v>566</v>
      </c>
      <c r="D311" s="159"/>
      <c r="E311" s="159"/>
      <c r="F311" s="102">
        <f>F220</f>
        <v>230000</v>
      </c>
      <c r="G311" s="102">
        <f>G220</f>
        <v>0</v>
      </c>
      <c r="H311" s="102">
        <f>H220</f>
        <v>230000</v>
      </c>
      <c r="I311" s="239">
        <f>I220</f>
        <v>-92414.13</v>
      </c>
      <c r="J311" s="38">
        <f>J220</f>
        <v>20000</v>
      </c>
    </row>
    <row r="312" spans="1:11" ht="409.6">
      <c r="A312" t="s">
        <v>1134</v>
      </c>
      <c r="D312" s="159"/>
      <c r="E312" s="159"/>
      <c r="F312" s="265">
        <f>F222</f>
        <v>70000</v>
      </c>
      <c r="G312" s="106">
        <f>G222</f>
        <v>0</v>
      </c>
      <c r="H312" s="106">
        <f>H222</f>
        <v>70000</v>
      </c>
      <c r="I312" s="241">
        <f>I222</f>
        <v>0</v>
      </c>
      <c r="J312" s="91">
        <f>J223</f>
        <v>100000</v>
      </c>
      <c r="K312" s="321">
        <v>0</v>
      </c>
    </row>
    <row r="313" spans="1:11" ht="409.6">
      <c r="A313" t="s">
        <v>395</v>
      </c>
      <c r="D313" s="159"/>
      <c r="E313" s="159"/>
      <c r="F313" s="102">
        <f>F228</f>
        <v>1050000</v>
      </c>
      <c r="G313" s="102">
        <f>G228</f>
        <v>272926.90000000002</v>
      </c>
      <c r="H313" s="102">
        <f>H228</f>
        <v>800000</v>
      </c>
      <c r="I313" s="239">
        <f>I228</f>
        <v>275923.39</v>
      </c>
      <c r="J313" s="371">
        <f>J228</f>
        <v>750000</v>
      </c>
    </row>
    <row r="314" spans="1:11" ht="409.6">
      <c r="A314" t="s">
        <v>1062</v>
      </c>
      <c r="D314" s="159"/>
      <c r="E314" s="159"/>
      <c r="F314" s="258">
        <f>F247</f>
        <v>1853600</v>
      </c>
      <c r="G314" s="102">
        <f>G247</f>
        <v>1664159.47</v>
      </c>
      <c r="H314" s="102">
        <f>H247</f>
        <v>2962133</v>
      </c>
      <c r="I314" s="239">
        <f>I247</f>
        <v>1972316.13</v>
      </c>
      <c r="J314" s="371">
        <f>J247</f>
        <v>3056606.8285714285</v>
      </c>
    </row>
    <row r="315" spans="1:11" ht="409.6">
      <c r="A315" t="s">
        <v>1063</v>
      </c>
      <c r="D315" s="159"/>
      <c r="E315" s="159"/>
      <c r="F315" s="102">
        <f>F254</f>
        <v>1000000</v>
      </c>
      <c r="G315" s="102">
        <f>G254</f>
        <v>39729.68</v>
      </c>
      <c r="H315" s="102">
        <f>H254</f>
        <v>1000000</v>
      </c>
      <c r="I315" s="239">
        <f>I254</f>
        <v>173192.48</v>
      </c>
      <c r="J315" s="371">
        <f>J254</f>
        <v>1000000</v>
      </c>
    </row>
    <row r="316" spans="1:11" ht="409.6">
      <c r="A316" t="s">
        <v>1064</v>
      </c>
      <c r="D316" s="159"/>
      <c r="E316" s="159"/>
      <c r="F316" s="102">
        <f>F257</f>
        <v>500000</v>
      </c>
      <c r="G316" s="102">
        <f>G257</f>
        <v>8.77</v>
      </c>
      <c r="H316" s="102">
        <f>H257</f>
        <v>500000</v>
      </c>
      <c r="I316" s="239">
        <f>I257</f>
        <v>8.77</v>
      </c>
      <c r="J316" s="38">
        <f>J257</f>
        <v>200000</v>
      </c>
    </row>
    <row r="317" spans="1:11" ht="409.6">
      <c r="A317" t="s">
        <v>1065</v>
      </c>
      <c r="D317" s="159"/>
      <c r="E317" s="159"/>
      <c r="F317" s="102">
        <f>F260</f>
        <v>30000</v>
      </c>
      <c r="G317" s="102">
        <f>G260</f>
        <v>0</v>
      </c>
      <c r="H317" s="102">
        <f>H260</f>
        <v>30000</v>
      </c>
      <c r="I317" s="239">
        <f>I260</f>
        <v>0</v>
      </c>
      <c r="J317" s="38">
        <f>J260</f>
        <v>0</v>
      </c>
    </row>
    <row r="318" spans="1:11" ht="15.75" thickBot="1">
      <c r="D318" s="159"/>
      <c r="E318" s="159"/>
      <c r="F318" s="114">
        <f>SUM(F266:F317)</f>
        <v>38977576.217100002</v>
      </c>
      <c r="G318" s="114">
        <f>SUM(G266:G317)</f>
        <v>26998973.409999989</v>
      </c>
      <c r="H318" s="114">
        <f>SUM(H266:H317)</f>
        <v>43784246</v>
      </c>
      <c r="I318" s="316">
        <f>SUM(I266:I317)</f>
        <v>32604898.150000006</v>
      </c>
      <c r="J318" s="75">
        <f>SUM(J266:J317)</f>
        <v>47617251.115714282</v>
      </c>
    </row>
    <row r="319" spans="1:11" ht="15.75" thickTop="1">
      <c r="D319" s="159"/>
      <c r="E319" s="159"/>
      <c r="F319" s="159"/>
      <c r="G319" s="159"/>
      <c r="H319" s="159"/>
      <c r="I319" s="243"/>
    </row>
    <row r="320" spans="1:11" ht="409.6">
      <c r="D320" s="159"/>
      <c r="E320" s="159"/>
      <c r="F320" s="159"/>
      <c r="G320" s="159"/>
      <c r="H320" s="159"/>
      <c r="I320" s="243"/>
    </row>
    <row r="321" spans="4:11" ht="409.6">
      <c r="D321" s="159"/>
      <c r="E321" s="159"/>
      <c r="F321" s="159"/>
      <c r="G321" s="159"/>
      <c r="H321" s="159"/>
      <c r="I321" s="243"/>
    </row>
    <row r="322" spans="4:11" ht="409.6">
      <c r="D322" s="159" t="s">
        <v>1114</v>
      </c>
      <c r="E322" s="159"/>
      <c r="F322" s="102">
        <f>'GENERAL EXPENDITURE'!F200</f>
        <v>38977576.217100002</v>
      </c>
      <c r="G322" s="102">
        <f>'GENERAL EXPENDITURE'!G200</f>
        <v>31745904.040000003</v>
      </c>
      <c r="H322" s="102">
        <f>'GENERAL EXPENDITURE'!H200</f>
        <v>43784246</v>
      </c>
      <c r="I322" s="239">
        <f>'GENERAL EXPENDITURE'!I200</f>
        <v>32604898.149999999</v>
      </c>
      <c r="J322" s="38">
        <f>'GENERAL EXPENDITURE'!J200</f>
        <v>47467251.115714282</v>
      </c>
      <c r="K322" t="s">
        <v>1114</v>
      </c>
    </row>
    <row r="323" spans="4:11" ht="409.6">
      <c r="D323" s="159" t="s">
        <v>1149</v>
      </c>
      <c r="E323" s="159"/>
      <c r="F323" s="102">
        <f t="shared" ref="F323:K323" si="49">F318</f>
        <v>38977576.217100002</v>
      </c>
      <c r="G323" s="102">
        <f t="shared" si="49"/>
        <v>26998973.409999989</v>
      </c>
      <c r="H323" s="102">
        <f t="shared" si="49"/>
        <v>43784246</v>
      </c>
      <c r="I323" s="239">
        <f t="shared" si="49"/>
        <v>32604898.150000006</v>
      </c>
      <c r="J323" s="38">
        <f t="shared" si="49"/>
        <v>47617251.115714282</v>
      </c>
      <c r="K323" s="102">
        <f t="shared" si="49"/>
        <v>0</v>
      </c>
    </row>
    <row r="324" spans="4:11" ht="15.75" thickBot="1">
      <c r="D324" s="159"/>
      <c r="E324" s="159"/>
      <c r="F324" s="114">
        <f t="shared" ref="F324:K324" si="50">F322-F323</f>
        <v>0</v>
      </c>
      <c r="G324" s="114">
        <f t="shared" si="50"/>
        <v>4746930.6300000139</v>
      </c>
      <c r="H324" s="114">
        <f t="shared" si="50"/>
        <v>0</v>
      </c>
      <c r="I324" s="316">
        <f t="shared" si="50"/>
        <v>0</v>
      </c>
      <c r="J324" s="75">
        <f t="shared" si="50"/>
        <v>-150000</v>
      </c>
      <c r="K324" s="114" t="e">
        <f t="shared" si="50"/>
        <v>#VALUE!</v>
      </c>
    </row>
    <row r="325" spans="4:11" ht="15.75" thickTop="1">
      <c r="D325" s="159"/>
      <c r="E325" s="159"/>
      <c r="F325" s="159"/>
      <c r="G325" s="159"/>
      <c r="H325" s="159"/>
      <c r="I325" s="243"/>
    </row>
    <row r="326" spans="4:11" ht="409.6">
      <c r="D326" s="159"/>
      <c r="E326" s="159"/>
      <c r="F326" s="159"/>
      <c r="G326" s="159"/>
      <c r="H326" s="159"/>
      <c r="I326" s="243"/>
    </row>
    <row r="327" spans="4:11" ht="409.6">
      <c r="D327" s="159"/>
      <c r="E327" s="159"/>
      <c r="F327" s="159"/>
      <c r="G327" s="159"/>
      <c r="H327" s="159"/>
      <c r="I327" s="243"/>
      <c r="J327" s="27"/>
    </row>
    <row r="328" spans="4:11" ht="409.6">
      <c r="D328" s="159"/>
      <c r="E328" s="159"/>
      <c r="F328" s="159"/>
      <c r="G328" s="159"/>
      <c r="H328" s="159"/>
      <c r="I328" s="243"/>
      <c r="J328" s="27">
        <v>21902436.770000003</v>
      </c>
    </row>
    <row r="329" spans="4:11" ht="409.6">
      <c r="D329" s="159"/>
      <c r="E329" s="159"/>
      <c r="F329" s="159"/>
      <c r="G329" s="159"/>
      <c r="H329" s="159"/>
      <c r="I329" s="243"/>
      <c r="J329" s="27">
        <f>J322-J328</f>
        <v>25564814.345714279</v>
      </c>
    </row>
    <row r="330" spans="4:11" ht="409.6">
      <c r="D330" s="159"/>
      <c r="E330" s="159"/>
      <c r="F330" s="159"/>
      <c r="G330" s="159"/>
      <c r="H330" s="159"/>
      <c r="I330" s="243"/>
    </row>
    <row r="331" spans="4:11" ht="409.6">
      <c r="D331" s="159"/>
      <c r="E331" s="159"/>
      <c r="F331" s="159"/>
      <c r="G331" s="159"/>
      <c r="H331" s="159"/>
      <c r="I331" s="243"/>
    </row>
    <row r="332" spans="4:11" ht="409.6">
      <c r="D332" s="159"/>
      <c r="E332" s="159"/>
      <c r="F332" s="159"/>
      <c r="G332" s="159"/>
      <c r="H332" s="159"/>
      <c r="I332" s="243"/>
    </row>
    <row r="333" spans="4:11" ht="409.6">
      <c r="D333" s="159"/>
      <c r="E333" s="159"/>
      <c r="F333" s="159"/>
      <c r="G333" s="159"/>
      <c r="H333" s="159"/>
      <c r="I333" s="243"/>
    </row>
    <row r="334" spans="4:11" ht="409.6">
      <c r="D334" s="159"/>
      <c r="E334" s="159"/>
      <c r="F334" s="159"/>
      <c r="G334" s="159"/>
      <c r="H334" s="159"/>
      <c r="I334" s="243"/>
    </row>
    <row r="335" spans="4:11" ht="409.6">
      <c r="D335" s="159"/>
      <c r="E335" s="159"/>
      <c r="F335" s="159"/>
      <c r="G335" s="159"/>
      <c r="H335" s="159"/>
      <c r="I335" s="243"/>
    </row>
    <row r="336" spans="4:11" ht="409.6">
      <c r="D336" s="159"/>
      <c r="E336" s="159"/>
      <c r="F336" s="159"/>
      <c r="G336" s="159"/>
      <c r="H336" s="159"/>
      <c r="I336" s="243"/>
    </row>
    <row r="337" spans="4:9" ht="409.6">
      <c r="D337" s="159"/>
      <c r="E337" s="159"/>
      <c r="F337" s="159"/>
      <c r="G337" s="159"/>
      <c r="H337" s="159"/>
      <c r="I337" s="243"/>
    </row>
    <row r="338" spans="4:9" ht="409.6">
      <c r="D338" s="159"/>
      <c r="E338" s="159"/>
      <c r="F338" s="159"/>
      <c r="G338" s="159"/>
      <c r="H338" s="159"/>
      <c r="I338" s="243"/>
    </row>
    <row r="339" spans="4:9" ht="409.6">
      <c r="D339" s="159"/>
      <c r="E339" s="159"/>
      <c r="F339" s="159"/>
      <c r="G339" s="159"/>
      <c r="H339" s="159"/>
      <c r="I339" s="243"/>
    </row>
    <row r="340" spans="4:9" ht="409.6">
      <c r="D340" s="159"/>
      <c r="E340" s="159"/>
      <c r="F340" s="159"/>
      <c r="G340" s="159"/>
      <c r="H340" s="159"/>
      <c r="I340" s="243"/>
    </row>
    <row r="341" spans="4:9" ht="409.6">
      <c r="D341" s="159"/>
      <c r="E341" s="159"/>
      <c r="F341" s="159"/>
      <c r="G341" s="159"/>
      <c r="H341" s="159"/>
      <c r="I341" s="243"/>
    </row>
    <row r="342" spans="4:9" ht="409.6">
      <c r="D342" s="159"/>
      <c r="E342" s="159"/>
      <c r="F342" s="159"/>
      <c r="G342" s="159"/>
      <c r="H342" s="159"/>
      <c r="I342" s="243"/>
    </row>
    <row r="343" spans="4:9" ht="409.6">
      <c r="D343" s="159"/>
      <c r="E343" s="159"/>
      <c r="F343" s="159"/>
      <c r="G343" s="159"/>
      <c r="H343" s="159"/>
      <c r="I343" s="243"/>
    </row>
    <row r="344" spans="4:9" ht="409.6">
      <c r="D344" s="159"/>
      <c r="E344" s="159"/>
      <c r="F344" s="159"/>
      <c r="G344" s="159"/>
      <c r="H344" s="159"/>
      <c r="I344" s="243"/>
    </row>
    <row r="345" spans="4:9" ht="409.6">
      <c r="D345" s="159"/>
      <c r="E345" s="159"/>
      <c r="F345" s="159"/>
      <c r="G345" s="159"/>
      <c r="H345" s="159"/>
      <c r="I345" s="243"/>
    </row>
    <row r="346" spans="4:9" ht="409.6">
      <c r="D346" s="159"/>
      <c r="E346" s="159"/>
      <c r="F346" s="159"/>
      <c r="G346" s="159"/>
      <c r="H346" s="159"/>
      <c r="I346" s="243"/>
    </row>
    <row r="347" spans="4:9" ht="409.6">
      <c r="D347" s="159"/>
      <c r="E347" s="159"/>
      <c r="F347" s="159"/>
      <c r="G347" s="159"/>
      <c r="H347" s="159"/>
      <c r="I347" s="243"/>
    </row>
    <row r="348" spans="4:9" ht="409.6">
      <c r="D348" s="159"/>
      <c r="E348" s="159"/>
      <c r="F348" s="159"/>
      <c r="G348" s="159"/>
      <c r="H348" s="159"/>
      <c r="I348" s="243"/>
    </row>
    <row r="349" spans="4:9" ht="409.6">
      <c r="D349" s="159"/>
      <c r="E349" s="159"/>
      <c r="F349" s="159"/>
      <c r="G349" s="159"/>
      <c r="H349" s="159"/>
      <c r="I349" s="243"/>
    </row>
    <row r="350" spans="4:9" ht="409.6">
      <c r="D350" s="159"/>
      <c r="E350" s="159"/>
      <c r="F350" s="159"/>
      <c r="G350" s="159"/>
      <c r="H350" s="159"/>
      <c r="I350" s="243"/>
    </row>
    <row r="351" spans="4:9" ht="409.6">
      <c r="D351" s="159"/>
      <c r="E351" s="159"/>
      <c r="F351" s="159"/>
      <c r="G351" s="159"/>
      <c r="H351" s="159"/>
      <c r="I351" s="243"/>
    </row>
    <row r="352" spans="4:9" ht="409.6">
      <c r="D352" s="159"/>
      <c r="E352" s="159"/>
      <c r="F352" s="159"/>
      <c r="G352" s="159"/>
      <c r="H352" s="159"/>
      <c r="I352" s="243"/>
    </row>
    <row r="353" spans="4:9" ht="409.6">
      <c r="D353" s="159"/>
      <c r="E353" s="159"/>
      <c r="F353" s="159"/>
      <c r="G353" s="159"/>
      <c r="H353" s="159"/>
      <c r="I353" s="243"/>
    </row>
    <row r="354" spans="4:9" ht="409.6">
      <c r="D354" s="159"/>
      <c r="E354" s="159"/>
      <c r="F354" s="159"/>
      <c r="G354" s="159"/>
      <c r="H354" s="159"/>
      <c r="I354" s="243"/>
    </row>
    <row r="355" spans="4:9" ht="409.6">
      <c r="D355" s="159"/>
      <c r="E355" s="159"/>
      <c r="F355" s="159"/>
      <c r="G355" s="159"/>
      <c r="H355" s="159"/>
      <c r="I355" s="243"/>
    </row>
    <row r="356" spans="4:9" ht="409.6">
      <c r="D356" s="159"/>
      <c r="E356" s="159"/>
      <c r="F356" s="159"/>
      <c r="G356" s="159"/>
      <c r="H356" s="159"/>
      <c r="I356" s="243"/>
    </row>
    <row r="357" spans="4:9" ht="409.6">
      <c r="D357" s="159"/>
      <c r="E357" s="159"/>
      <c r="F357" s="159"/>
      <c r="G357" s="159"/>
      <c r="H357" s="159"/>
      <c r="I357" s="243"/>
    </row>
  </sheetData>
  <autoFilter ref="C1:C357"/>
  <pageMargins left="0.7" right="0.7" top="0.75" bottom="0.75" header="0.3" footer="0.3"/>
  <pageSetup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O97"/>
  <sheetViews>
    <sheetView zoomScaleNormal="100" workbookViewId="0">
      <pane ySplit="2" topLeftCell="A54" activePane="bottomLeft" state="frozen"/>
      <selection pane="bottomLeft" activeCell="H72" sqref="H72"/>
    </sheetView>
  </sheetViews>
  <sheetFormatPr defaultRowHeight="15"/>
  <cols>
    <col min="3" max="3" width="42.28515625" bestFit="1" customWidth="1"/>
    <col min="4" max="4" width="26" style="164" bestFit="1" customWidth="1"/>
    <col min="5" max="5" width="24" style="164" hidden="1" customWidth="1"/>
    <col min="6" max="6" width="26" style="164" bestFit="1" customWidth="1"/>
    <col min="7" max="7" width="26" style="133" hidden="1" customWidth="1"/>
    <col min="8" max="8" width="26" style="35" bestFit="1" customWidth="1"/>
    <col min="9" max="10" width="26" style="35" customWidth="1"/>
    <col min="11" max="11" width="19.85546875" hidden="1" customWidth="1"/>
    <col min="12" max="14" width="0" hidden="1" customWidth="1"/>
    <col min="15" max="15" width="12" style="27" bestFit="1" customWidth="1"/>
  </cols>
  <sheetData>
    <row r="1" spans="1:15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27"/>
      <c r="L1" s="27"/>
    </row>
    <row r="2" spans="1:15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152" t="s">
        <v>1123</v>
      </c>
      <c r="K2" s="44"/>
      <c r="L2" s="44"/>
      <c r="O2" s="44"/>
    </row>
    <row r="3" spans="1:15" s="1" customFormat="1">
      <c r="A3" s="1" t="s">
        <v>923</v>
      </c>
      <c r="D3" s="121"/>
      <c r="E3" s="121"/>
      <c r="F3" s="121"/>
      <c r="G3" s="121"/>
      <c r="H3" s="121"/>
      <c r="I3" s="238"/>
      <c r="J3" s="70"/>
      <c r="O3" s="44"/>
    </row>
    <row r="4" spans="1:15">
      <c r="A4" s="13">
        <v>219</v>
      </c>
      <c r="B4" s="13">
        <v>8817</v>
      </c>
      <c r="C4" s="13" t="s">
        <v>45</v>
      </c>
      <c r="D4" s="117">
        <v>-30000</v>
      </c>
      <c r="E4" s="117">
        <v>-3214.86</v>
      </c>
      <c r="F4" s="117">
        <v>-30000</v>
      </c>
      <c r="G4" s="117">
        <v>-1957.69</v>
      </c>
      <c r="H4" s="117">
        <v>-30000</v>
      </c>
      <c r="I4" s="239">
        <v>-3792.58</v>
      </c>
      <c r="J4" s="84">
        <f>'COMMUNITY SERVICES'!J28</f>
        <v>-30000</v>
      </c>
      <c r="O4" s="27">
        <f>+I4/7*12</f>
        <v>-6501.5657142857144</v>
      </c>
    </row>
    <row r="5" spans="1:15">
      <c r="A5" s="13">
        <v>219</v>
      </c>
      <c r="B5" s="13">
        <v>8868</v>
      </c>
      <c r="C5" s="13" t="s">
        <v>48</v>
      </c>
      <c r="D5" s="117">
        <v>0</v>
      </c>
      <c r="E5" s="117">
        <v>-609.5</v>
      </c>
      <c r="F5" s="117">
        <v>-1000</v>
      </c>
      <c r="G5" s="117">
        <v>0</v>
      </c>
      <c r="H5" s="117">
        <v>-1000</v>
      </c>
      <c r="I5" s="235">
        <v>0</v>
      </c>
      <c r="J5" s="84">
        <f>'COMMUNITY SERVICES'!J29</f>
        <v>-1000</v>
      </c>
      <c r="O5" s="27">
        <f>+I5/7*12</f>
        <v>0</v>
      </c>
    </row>
    <row r="6" spans="1:15">
      <c r="A6" s="97">
        <v>219</v>
      </c>
      <c r="B6" s="97">
        <v>8869</v>
      </c>
      <c r="C6" s="97" t="s">
        <v>1121</v>
      </c>
      <c r="D6" s="117"/>
      <c r="E6" s="117"/>
      <c r="F6" s="117"/>
      <c r="G6" s="117"/>
      <c r="H6" s="117"/>
      <c r="I6" s="235">
        <v>1000</v>
      </c>
      <c r="J6" s="84">
        <f>'COMMUNITY SERVICES'!J30</f>
        <v>-1714.2857142857099</v>
      </c>
      <c r="O6" s="27">
        <f>+I6/7*12</f>
        <v>1714.2857142857142</v>
      </c>
    </row>
    <row r="7" spans="1:15">
      <c r="D7" s="118">
        <f t="shared" ref="D7:I7" si="0">SUM(D4:D6)</f>
        <v>-30000</v>
      </c>
      <c r="E7" s="118">
        <f t="shared" si="0"/>
        <v>-3824.36</v>
      </c>
      <c r="F7" s="118">
        <f t="shared" si="0"/>
        <v>-31000</v>
      </c>
      <c r="G7" s="118">
        <f t="shared" si="0"/>
        <v>-1957.69</v>
      </c>
      <c r="H7" s="118">
        <f t="shared" si="0"/>
        <v>-31000</v>
      </c>
      <c r="I7" s="236">
        <f t="shared" si="0"/>
        <v>-2792.58</v>
      </c>
      <c r="J7" s="193">
        <f>SUM(J4:J6)</f>
        <v>-32714.28571428571</v>
      </c>
      <c r="K7" s="27"/>
      <c r="L7" s="27"/>
      <c r="O7" s="27">
        <f t="shared" ref="O7:O44" si="1">+I7/7*12</f>
        <v>-4787.28</v>
      </c>
    </row>
    <row r="8" spans="1:15">
      <c r="A8" s="1" t="s">
        <v>923</v>
      </c>
      <c r="D8" s="115"/>
      <c r="E8" s="115"/>
      <c r="F8" s="115"/>
      <c r="G8" s="115"/>
      <c r="H8" s="115"/>
      <c r="I8" s="239"/>
      <c r="J8" s="38"/>
      <c r="K8" s="27"/>
      <c r="L8" s="27"/>
    </row>
    <row r="9" spans="1:15">
      <c r="A9" s="13">
        <v>244</v>
      </c>
      <c r="B9" s="13">
        <v>8823</v>
      </c>
      <c r="C9" s="13" t="s">
        <v>230</v>
      </c>
      <c r="D9" s="117">
        <v>-277399.21999999997</v>
      </c>
      <c r="E9" s="117">
        <v>-2173.56</v>
      </c>
      <c r="F9" s="117">
        <v>-200000</v>
      </c>
      <c r="G9" s="117">
        <v>-1234.21</v>
      </c>
      <c r="H9" s="117">
        <v>-100000</v>
      </c>
      <c r="I9" s="235">
        <v>-1307.02</v>
      </c>
      <c r="J9" s="84">
        <f>CORPORATE!J70</f>
        <v>-3000</v>
      </c>
      <c r="K9" s="27"/>
      <c r="L9" s="27"/>
      <c r="O9" s="27">
        <f t="shared" si="1"/>
        <v>-2240.6057142857144</v>
      </c>
    </row>
    <row r="10" spans="1:15">
      <c r="D10" s="118">
        <f>SUM(D9:D9)</f>
        <v>-277399.21999999997</v>
      </c>
      <c r="E10" s="118">
        <f>SUM(E9:E9)</f>
        <v>-2173.56</v>
      </c>
      <c r="F10" s="118">
        <f>SUM(F9:F9)</f>
        <v>-200000</v>
      </c>
      <c r="G10" s="118">
        <f>SUM(G9:G9)</f>
        <v>-1234.21</v>
      </c>
      <c r="H10" s="118">
        <f>H9</f>
        <v>-100000</v>
      </c>
      <c r="I10" s="236">
        <f>I9</f>
        <v>-1307.02</v>
      </c>
      <c r="J10" s="74">
        <f>J9</f>
        <v>-3000</v>
      </c>
      <c r="K10" s="27"/>
      <c r="L10" s="27"/>
      <c r="O10" s="27">
        <f t="shared" si="1"/>
        <v>-2240.6057142857144</v>
      </c>
    </row>
    <row r="11" spans="1:15" s="1" customFormat="1">
      <c r="A11" s="1" t="s">
        <v>923</v>
      </c>
      <c r="D11" s="121"/>
      <c r="E11" s="121"/>
      <c r="F11" s="121"/>
      <c r="G11" s="121"/>
      <c r="H11" s="121"/>
      <c r="I11" s="238"/>
      <c r="J11" s="70"/>
      <c r="K11"/>
      <c r="L11"/>
      <c r="M11"/>
      <c r="N11"/>
      <c r="O11" s="27"/>
    </row>
    <row r="12" spans="1:15">
      <c r="A12" s="13">
        <v>262</v>
      </c>
      <c r="B12" s="13">
        <v>8807</v>
      </c>
      <c r="C12" s="13" t="s">
        <v>297</v>
      </c>
      <c r="D12" s="117">
        <v>-380000</v>
      </c>
      <c r="E12" s="117">
        <v>0</v>
      </c>
      <c r="F12" s="117">
        <f>L14-509000</f>
        <v>-509000</v>
      </c>
      <c r="G12" s="117">
        <v>0</v>
      </c>
      <c r="H12" s="117">
        <v>-509000</v>
      </c>
      <c r="I12" s="235">
        <v>0</v>
      </c>
      <c r="J12" s="84">
        <f>'COMMUNITY SERVICES'!J224</f>
        <v>0</v>
      </c>
      <c r="O12" s="27">
        <f t="shared" si="1"/>
        <v>0</v>
      </c>
    </row>
    <row r="13" spans="1:15">
      <c r="A13" s="13">
        <v>262</v>
      </c>
      <c r="B13" s="13">
        <v>8808</v>
      </c>
      <c r="C13" s="13" t="s">
        <v>230</v>
      </c>
      <c r="D13" s="117">
        <v>0</v>
      </c>
      <c r="E13" s="117">
        <v>-438.6</v>
      </c>
      <c r="F13" s="117">
        <v>-700</v>
      </c>
      <c r="G13" s="117">
        <v>-640.35</v>
      </c>
      <c r="H13" s="117">
        <v>-1400</v>
      </c>
      <c r="I13" s="235">
        <v>-815.79</v>
      </c>
      <c r="J13" s="84">
        <f>'COMMUNITY SERVICES'!J225</f>
        <v>-1400</v>
      </c>
      <c r="O13" s="27">
        <f t="shared" si="1"/>
        <v>-1398.4971428571428</v>
      </c>
    </row>
    <row r="14" spans="1:15">
      <c r="A14" s="13">
        <v>262</v>
      </c>
      <c r="B14" s="13">
        <v>8969</v>
      </c>
      <c r="C14" s="13" t="s">
        <v>303</v>
      </c>
      <c r="D14" s="117">
        <v>0</v>
      </c>
      <c r="E14" s="117">
        <v>-338968.2</v>
      </c>
      <c r="F14" s="117">
        <v>-538959.43999999994</v>
      </c>
      <c r="G14" s="117">
        <v>-271260.24</v>
      </c>
      <c r="H14" s="117">
        <v>-538959.43999999994</v>
      </c>
      <c r="I14" s="235">
        <v>-326810.02</v>
      </c>
      <c r="J14" s="84">
        <f>'COMMUNITY SERVICES'!J229</f>
        <v>-565000</v>
      </c>
      <c r="K14" s="44"/>
      <c r="L14" s="44"/>
      <c r="M14" s="1"/>
      <c r="N14" s="1"/>
      <c r="O14" s="27">
        <f t="shared" si="1"/>
        <v>-560245.74857142859</v>
      </c>
    </row>
    <row r="15" spans="1:15">
      <c r="A15" s="13">
        <v>262</v>
      </c>
      <c r="B15" s="13">
        <v>8999</v>
      </c>
      <c r="C15" s="13" t="s">
        <v>305</v>
      </c>
      <c r="D15" s="117">
        <v>-10000</v>
      </c>
      <c r="E15" s="117">
        <v>-14520.82</v>
      </c>
      <c r="F15" s="117">
        <v>-22000</v>
      </c>
      <c r="G15" s="117">
        <v>-19770.09</v>
      </c>
      <c r="H15" s="117">
        <v>-40000</v>
      </c>
      <c r="I15" s="235">
        <v>-22625.75</v>
      </c>
      <c r="J15" s="84">
        <f>'COMMUNITY SERVICES'!J230</f>
        <v>-40000</v>
      </c>
      <c r="K15" s="27"/>
      <c r="L15" s="27"/>
      <c r="N15" s="42"/>
      <c r="O15" s="27">
        <f t="shared" si="1"/>
        <v>-38787</v>
      </c>
    </row>
    <row r="16" spans="1:15">
      <c r="D16" s="118">
        <f t="shared" ref="D16:J16" si="2">SUM(D12:D15)</f>
        <v>-390000</v>
      </c>
      <c r="E16" s="118">
        <f t="shared" si="2"/>
        <v>-353927.62</v>
      </c>
      <c r="F16" s="118">
        <f t="shared" si="2"/>
        <v>-1070659.44</v>
      </c>
      <c r="G16" s="118">
        <f t="shared" si="2"/>
        <v>-291670.68</v>
      </c>
      <c r="H16" s="118">
        <f t="shared" si="2"/>
        <v>-1089359.44</v>
      </c>
      <c r="I16" s="236">
        <f t="shared" si="2"/>
        <v>-350251.56</v>
      </c>
      <c r="J16" s="193">
        <f t="shared" si="2"/>
        <v>-606400</v>
      </c>
      <c r="K16" s="40"/>
      <c r="O16" s="27">
        <f t="shared" si="1"/>
        <v>-600431.24571428564</v>
      </c>
    </row>
    <row r="17" spans="1:15" s="1" customFormat="1">
      <c r="A17" s="1" t="s">
        <v>929</v>
      </c>
      <c r="D17" s="121"/>
      <c r="E17" s="121"/>
      <c r="F17" s="121"/>
      <c r="G17" s="121"/>
      <c r="H17" s="121"/>
      <c r="I17" s="238"/>
      <c r="J17" s="70"/>
      <c r="K17"/>
      <c r="L17"/>
      <c r="M17"/>
      <c r="N17"/>
      <c r="O17" s="27"/>
    </row>
    <row r="18" spans="1:15">
      <c r="A18" s="13">
        <v>268</v>
      </c>
      <c r="B18" s="13">
        <v>9001</v>
      </c>
      <c r="C18" s="13" t="s">
        <v>366</v>
      </c>
      <c r="D18" s="117">
        <v>0</v>
      </c>
      <c r="E18" s="117">
        <v>-122.81</v>
      </c>
      <c r="F18" s="117">
        <f>E18/8*12</f>
        <v>-184.215</v>
      </c>
      <c r="G18" s="117">
        <v>0</v>
      </c>
      <c r="H18" s="117">
        <f>F18</f>
        <v>-184.215</v>
      </c>
      <c r="I18" s="235">
        <v>0</v>
      </c>
      <c r="J18" s="84">
        <f>'COMMUNITY SERVICES'!J288</f>
        <v>0</v>
      </c>
      <c r="K18" s="44"/>
      <c r="L18" s="44"/>
      <c r="M18" s="27"/>
      <c r="O18" s="27">
        <f t="shared" si="1"/>
        <v>0</v>
      </c>
    </row>
    <row r="19" spans="1:15">
      <c r="D19" s="118">
        <f t="shared" ref="D19:J19" si="3">SUM(D18:D18)</f>
        <v>0</v>
      </c>
      <c r="E19" s="118">
        <f t="shared" si="3"/>
        <v>-122.81</v>
      </c>
      <c r="F19" s="118">
        <f t="shared" si="3"/>
        <v>-184.215</v>
      </c>
      <c r="G19" s="118">
        <f t="shared" si="3"/>
        <v>0</v>
      </c>
      <c r="H19" s="118">
        <f t="shared" si="3"/>
        <v>-184.215</v>
      </c>
      <c r="I19" s="236">
        <f t="shared" si="3"/>
        <v>0</v>
      </c>
      <c r="J19" s="193">
        <f t="shared" si="3"/>
        <v>0</v>
      </c>
      <c r="K19" s="44"/>
      <c r="L19" s="44"/>
      <c r="M19" s="27"/>
      <c r="O19" s="27">
        <f t="shared" si="1"/>
        <v>0</v>
      </c>
    </row>
    <row r="20" spans="1:15" s="71" customFormat="1">
      <c r="A20" s="71" t="s">
        <v>923</v>
      </c>
      <c r="D20" s="121"/>
      <c r="E20" s="121"/>
      <c r="F20" s="121"/>
      <c r="G20" s="121"/>
      <c r="H20" s="121"/>
      <c r="I20" s="238"/>
      <c r="J20" s="70"/>
      <c r="K20" s="70"/>
      <c r="O20" s="27"/>
    </row>
    <row r="21" spans="1:15" s="35" customFormat="1">
      <c r="A21" s="79">
        <v>274</v>
      </c>
      <c r="B21" s="79">
        <v>8806</v>
      </c>
      <c r="C21" s="79" t="s">
        <v>420</v>
      </c>
      <c r="D21" s="117">
        <v>0</v>
      </c>
      <c r="E21" s="117">
        <v>-165328.44</v>
      </c>
      <c r="F21" s="117">
        <v>0</v>
      </c>
      <c r="G21" s="117">
        <v>0</v>
      </c>
      <c r="H21" s="117">
        <v>0</v>
      </c>
      <c r="I21" s="235">
        <v>0</v>
      </c>
      <c r="J21" s="84">
        <f>FINANCE!J63</f>
        <v>0</v>
      </c>
      <c r="K21" s="38">
        <f t="shared" ref="K21:K29" si="4">+E21/8*12</f>
        <v>-247992.66</v>
      </c>
      <c r="O21" s="27">
        <f t="shared" si="1"/>
        <v>0</v>
      </c>
    </row>
    <row r="22" spans="1:15" s="35" customFormat="1">
      <c r="A22" s="79">
        <v>274</v>
      </c>
      <c r="B22" s="79">
        <v>8821</v>
      </c>
      <c r="C22" s="79" t="s">
        <v>422</v>
      </c>
      <c r="D22" s="117">
        <v>0</v>
      </c>
      <c r="E22" s="117">
        <v>-27653.4</v>
      </c>
      <c r="F22" s="117">
        <f>-42000</f>
        <v>-42000</v>
      </c>
      <c r="G22" s="117">
        <v>-8771.92</v>
      </c>
      <c r="H22" s="117">
        <v>-42000</v>
      </c>
      <c r="I22" s="235">
        <v>-8771.92</v>
      </c>
      <c r="J22" s="84">
        <f>FINANCE!J64</f>
        <v>-20000</v>
      </c>
      <c r="K22" s="38">
        <f t="shared" si="4"/>
        <v>-41480.100000000006</v>
      </c>
      <c r="O22" s="27">
        <f t="shared" si="1"/>
        <v>-15037.577142857142</v>
      </c>
    </row>
    <row r="23" spans="1:15" s="35" customFormat="1">
      <c r="A23" s="79">
        <v>274</v>
      </c>
      <c r="B23" s="79">
        <v>8823</v>
      </c>
      <c r="C23" s="79" t="s">
        <v>230</v>
      </c>
      <c r="D23" s="117">
        <v>0</v>
      </c>
      <c r="E23" s="117">
        <v>-75301.34</v>
      </c>
      <c r="F23" s="117">
        <v>-50000</v>
      </c>
      <c r="G23" s="117">
        <v>-80996.5</v>
      </c>
      <c r="H23" s="117">
        <v>-140000</v>
      </c>
      <c r="I23" s="235">
        <v>-92414.13</v>
      </c>
      <c r="J23" s="84">
        <f>FINANCE!J65</f>
        <v>-170000</v>
      </c>
      <c r="K23" s="38">
        <f t="shared" si="4"/>
        <v>-112952.01</v>
      </c>
      <c r="O23" s="27">
        <f t="shared" si="1"/>
        <v>-158424.22285714286</v>
      </c>
    </row>
    <row r="24" spans="1:15" s="35" customFormat="1">
      <c r="A24" s="79">
        <v>274</v>
      </c>
      <c r="B24" s="79">
        <v>8962</v>
      </c>
      <c r="C24" s="79" t="s">
        <v>438</v>
      </c>
      <c r="D24" s="117">
        <v>0</v>
      </c>
      <c r="E24" s="117">
        <v>-5517.54</v>
      </c>
      <c r="F24" s="117">
        <v>-8300</v>
      </c>
      <c r="G24" s="117">
        <v>-49229.29</v>
      </c>
      <c r="H24" s="117">
        <v>-80000</v>
      </c>
      <c r="I24" s="235">
        <v>-50636.37</v>
      </c>
      <c r="J24" s="84">
        <f>FINANCE!J75</f>
        <v>-87000</v>
      </c>
      <c r="K24" s="38">
        <f t="shared" si="4"/>
        <v>-8276.31</v>
      </c>
      <c r="O24" s="27">
        <f t="shared" si="1"/>
        <v>-86805.205714285723</v>
      </c>
    </row>
    <row r="25" spans="1:15" s="35" customFormat="1">
      <c r="A25" s="48">
        <v>274</v>
      </c>
      <c r="B25" s="48">
        <v>8968</v>
      </c>
      <c r="C25" s="48" t="s">
        <v>1122</v>
      </c>
      <c r="D25" s="117"/>
      <c r="E25" s="117"/>
      <c r="F25" s="117"/>
      <c r="G25" s="117"/>
      <c r="H25" s="117"/>
      <c r="I25" s="235">
        <v>-1225.3599999999999</v>
      </c>
      <c r="J25" s="84">
        <f>FINANCE!J76</f>
        <v>-2200</v>
      </c>
      <c r="K25" s="38"/>
      <c r="O25" s="27">
        <f t="shared" si="1"/>
        <v>-2100.6171428571424</v>
      </c>
    </row>
    <row r="26" spans="1:15" s="35" customFormat="1" ht="15.75" thickBot="1">
      <c r="A26" s="79">
        <v>274</v>
      </c>
      <c r="B26" s="79">
        <v>8973</v>
      </c>
      <c r="C26" s="79" t="s">
        <v>440</v>
      </c>
      <c r="D26" s="117">
        <v>-700</v>
      </c>
      <c r="E26" s="117">
        <v>-682.34</v>
      </c>
      <c r="F26" s="117">
        <v>-1000</v>
      </c>
      <c r="G26" s="117">
        <v>-284.29000000000002</v>
      </c>
      <c r="H26" s="117">
        <v>-1000</v>
      </c>
      <c r="I26" s="235">
        <v>-1205.3399999999999</v>
      </c>
      <c r="J26" s="84">
        <f>FINANCE!J77</f>
        <v>-1400</v>
      </c>
      <c r="K26" s="38">
        <f t="shared" si="4"/>
        <v>-1023.51</v>
      </c>
      <c r="O26" s="27">
        <f t="shared" si="1"/>
        <v>-2066.2971428571427</v>
      </c>
    </row>
    <row r="27" spans="1:15" s="35" customFormat="1" ht="15.75" thickBot="1">
      <c r="A27" s="79">
        <v>274</v>
      </c>
      <c r="B27" s="79">
        <v>9015</v>
      </c>
      <c r="C27" s="79" t="s">
        <v>442</v>
      </c>
      <c r="D27" s="117">
        <v>-13000</v>
      </c>
      <c r="E27" s="117">
        <v>-6361.67</v>
      </c>
      <c r="F27" s="117">
        <v>-7000</v>
      </c>
      <c r="G27" s="117">
        <v>-5340.66</v>
      </c>
      <c r="H27" s="117">
        <v>-10000</v>
      </c>
      <c r="I27" s="235">
        <v>-6046.94</v>
      </c>
      <c r="J27" s="84">
        <f>FINANCE!J78</f>
        <v>-11000</v>
      </c>
      <c r="K27" s="38">
        <f t="shared" si="4"/>
        <v>-9542.505000000001</v>
      </c>
      <c r="L27" s="38"/>
      <c r="M27" s="68"/>
      <c r="N27" s="69"/>
      <c r="O27" s="27">
        <f t="shared" si="1"/>
        <v>-10366.182857142856</v>
      </c>
    </row>
    <row r="28" spans="1:15" s="35" customFormat="1">
      <c r="A28" s="79">
        <v>274</v>
      </c>
      <c r="B28" s="79">
        <v>9041</v>
      </c>
      <c r="C28" s="79" t="s">
        <v>444</v>
      </c>
      <c r="D28" s="117">
        <v>-550</v>
      </c>
      <c r="E28" s="117">
        <v>-408.8</v>
      </c>
      <c r="F28" s="117">
        <v>-620</v>
      </c>
      <c r="G28" s="117">
        <v>-77.94</v>
      </c>
      <c r="H28" s="117">
        <v>-450</v>
      </c>
      <c r="I28" s="235">
        <v>-77.94</v>
      </c>
      <c r="J28" s="84">
        <f>FINANCE!J79</f>
        <v>-130</v>
      </c>
      <c r="K28" s="38">
        <f t="shared" si="4"/>
        <v>-613.20000000000005</v>
      </c>
      <c r="L28" s="70"/>
      <c r="M28" s="70"/>
      <c r="N28" s="38"/>
      <c r="O28" s="27">
        <f t="shared" si="1"/>
        <v>-133.61142857142858</v>
      </c>
    </row>
    <row r="29" spans="1:15" s="35" customFormat="1">
      <c r="A29" s="79">
        <v>274</v>
      </c>
      <c r="B29" s="79">
        <v>600302</v>
      </c>
      <c r="C29" s="79" t="s">
        <v>446</v>
      </c>
      <c r="D29" s="117">
        <v>0</v>
      </c>
      <c r="E29" s="117">
        <v>0</v>
      </c>
      <c r="F29" s="117">
        <v>0</v>
      </c>
      <c r="G29" s="117"/>
      <c r="H29" s="117"/>
      <c r="I29" s="235"/>
      <c r="J29" s="84">
        <v>0</v>
      </c>
      <c r="K29" s="38">
        <f t="shared" si="4"/>
        <v>0</v>
      </c>
      <c r="L29" s="70"/>
      <c r="M29" s="70"/>
      <c r="N29" s="38"/>
      <c r="O29" s="27">
        <f t="shared" si="1"/>
        <v>0</v>
      </c>
    </row>
    <row r="30" spans="1:15" s="35" customFormat="1" ht="15.75" thickBot="1">
      <c r="D30" s="118">
        <f t="shared" ref="D30:J30" si="5">SUM(D21:D29)</f>
        <v>-14250</v>
      </c>
      <c r="E30" s="118">
        <f t="shared" si="5"/>
        <v>-281253.52999999997</v>
      </c>
      <c r="F30" s="118">
        <f t="shared" si="5"/>
        <v>-108920</v>
      </c>
      <c r="G30" s="118">
        <f t="shared" si="5"/>
        <v>-144700.6</v>
      </c>
      <c r="H30" s="118">
        <f t="shared" si="5"/>
        <v>-273450</v>
      </c>
      <c r="I30" s="236">
        <f t="shared" si="5"/>
        <v>-160378</v>
      </c>
      <c r="J30" s="193">
        <f t="shared" si="5"/>
        <v>-291730</v>
      </c>
      <c r="K30" s="77"/>
      <c r="L30" s="38"/>
      <c r="M30" s="75"/>
      <c r="N30" s="75"/>
      <c r="O30" s="27">
        <f t="shared" si="1"/>
        <v>-274933.71428571432</v>
      </c>
    </row>
    <row r="31" spans="1:15" s="71" customFormat="1" ht="15.75" thickTop="1">
      <c r="A31" s="71" t="s">
        <v>923</v>
      </c>
      <c r="D31" s="121"/>
      <c r="E31" s="121"/>
      <c r="F31" s="121"/>
      <c r="G31" s="121"/>
      <c r="H31" s="121"/>
      <c r="I31" s="238"/>
      <c r="J31" s="70"/>
      <c r="K31" s="70"/>
      <c r="O31" s="27"/>
    </row>
    <row r="32" spans="1:15" s="35" customFormat="1">
      <c r="A32" s="79">
        <v>290</v>
      </c>
      <c r="B32" s="79">
        <v>8801</v>
      </c>
      <c r="C32" s="79" t="s">
        <v>562</v>
      </c>
      <c r="D32" s="117">
        <v>-500000</v>
      </c>
      <c r="E32" s="117">
        <f>L34-136565</f>
        <v>-136565</v>
      </c>
      <c r="F32" s="117">
        <f>K32</f>
        <v>-204847.5</v>
      </c>
      <c r="G32" s="117">
        <v>-250764.54</v>
      </c>
      <c r="H32" s="117">
        <v>-430000</v>
      </c>
      <c r="I32" s="235">
        <v>-249575.22</v>
      </c>
      <c r="J32" s="84">
        <f>TECHNICAL!J118</f>
        <v>-453513.82428571401</v>
      </c>
      <c r="K32" s="38">
        <f>E32/8*12</f>
        <v>-204847.5</v>
      </c>
      <c r="L32" s="38">
        <f>K32*12.2/100</f>
        <v>-24991.395</v>
      </c>
      <c r="M32" s="38">
        <f>K32+L32</f>
        <v>-229838.89499999999</v>
      </c>
      <c r="O32" s="27">
        <f t="shared" si="1"/>
        <v>-427843.23428571422</v>
      </c>
    </row>
    <row r="33" spans="1:15" s="35" customFormat="1">
      <c r="A33" s="79">
        <v>290</v>
      </c>
      <c r="B33" s="79">
        <v>8822</v>
      </c>
      <c r="C33" s="79" t="s">
        <v>486</v>
      </c>
      <c r="D33" s="117">
        <v>0</v>
      </c>
      <c r="E33" s="117">
        <v>-11241.44</v>
      </c>
      <c r="F33" s="117">
        <f>-18919.34</f>
        <v>-18919.34</v>
      </c>
      <c r="G33" s="117">
        <v>-11150.66</v>
      </c>
      <c r="H33" s="117">
        <v>-21876</v>
      </c>
      <c r="I33" s="235">
        <v>-11150.66</v>
      </c>
      <c r="J33" s="84">
        <f>TECHNICAL!J120</f>
        <v>-20262.342171428572</v>
      </c>
      <c r="K33" s="38"/>
      <c r="L33" s="38"/>
      <c r="O33" s="27">
        <f t="shared" si="1"/>
        <v>-19115.417142857143</v>
      </c>
    </row>
    <row r="34" spans="1:15" s="35" customFormat="1">
      <c r="A34" s="79">
        <v>290</v>
      </c>
      <c r="B34" s="79">
        <v>8823</v>
      </c>
      <c r="C34" s="79" t="s">
        <v>566</v>
      </c>
      <c r="D34" s="117">
        <v>0</v>
      </c>
      <c r="E34" s="117">
        <v>0</v>
      </c>
      <c r="F34" s="117">
        <v>-1115052.6299999999</v>
      </c>
      <c r="G34" s="261">
        <v>-10885.09</v>
      </c>
      <c r="H34" s="261">
        <v>-40000</v>
      </c>
      <c r="I34" s="235">
        <v>-10885.09</v>
      </c>
      <c r="J34" s="206">
        <f>TECHNICAL!J121</f>
        <v>-19779.763542857141</v>
      </c>
      <c r="K34" s="38"/>
      <c r="L34" s="38"/>
      <c r="O34" s="27">
        <f t="shared" si="1"/>
        <v>-18660.154285714285</v>
      </c>
    </row>
    <row r="35" spans="1:15" s="35" customFormat="1">
      <c r="A35" s="79">
        <v>290</v>
      </c>
      <c r="B35" s="79">
        <v>8911</v>
      </c>
      <c r="C35" s="79" t="s">
        <v>567</v>
      </c>
      <c r="D35" s="117">
        <v>0</v>
      </c>
      <c r="E35" s="117">
        <v>-62485.53</v>
      </c>
      <c r="F35" s="117">
        <v>-200000</v>
      </c>
      <c r="G35" s="117">
        <v>-73332.59</v>
      </c>
      <c r="H35" s="117">
        <v>-200000</v>
      </c>
      <c r="I35" s="235">
        <v>-74217.47</v>
      </c>
      <c r="J35" s="84">
        <f>TECHNICAL!J123</f>
        <v>-134863.74857142899</v>
      </c>
      <c r="K35" s="38"/>
      <c r="O35" s="27">
        <f t="shared" si="1"/>
        <v>-127229.94857142857</v>
      </c>
    </row>
    <row r="36" spans="1:15" s="35" customFormat="1">
      <c r="A36" s="79">
        <v>290</v>
      </c>
      <c r="B36" s="79">
        <v>8960</v>
      </c>
      <c r="C36" s="79" t="s">
        <v>574</v>
      </c>
      <c r="D36" s="117">
        <v>0</v>
      </c>
      <c r="E36" s="117">
        <v>-701.75</v>
      </c>
      <c r="F36" s="117">
        <f>E36/8*12</f>
        <v>-1052.625</v>
      </c>
      <c r="G36" s="117">
        <v>-2070</v>
      </c>
      <c r="H36" s="117">
        <v>-4000</v>
      </c>
      <c r="I36" s="235">
        <v>-2070</v>
      </c>
      <c r="J36" s="84">
        <f>TECHNICAL!J127</f>
        <v>-3761.4814285714297</v>
      </c>
      <c r="K36" s="38"/>
      <c r="L36" s="91"/>
      <c r="M36" s="91"/>
      <c r="O36" s="27">
        <f t="shared" si="1"/>
        <v>-3548.5714285714284</v>
      </c>
    </row>
    <row r="37" spans="1:15" s="35" customFormat="1">
      <c r="A37" s="90"/>
      <c r="B37" s="90"/>
      <c r="C37" s="339" t="s">
        <v>1140</v>
      </c>
      <c r="D37" s="341">
        <v>0</v>
      </c>
      <c r="E37" s="341"/>
      <c r="F37" s="341">
        <v>0</v>
      </c>
      <c r="G37" s="341"/>
      <c r="H37" s="341">
        <v>0</v>
      </c>
      <c r="I37" s="341">
        <v>0</v>
      </c>
      <c r="J37" s="341">
        <f>TECHNICAL!J128</f>
        <v>-13313130.85</v>
      </c>
      <c r="K37" s="38"/>
      <c r="L37" s="91"/>
      <c r="M37" s="91"/>
      <c r="O37" s="27"/>
    </row>
    <row r="38" spans="1:15" s="35" customFormat="1">
      <c r="D38" s="118">
        <f t="shared" ref="D38:I38" si="6">SUM(D32:D37)</f>
        <v>-500000</v>
      </c>
      <c r="E38" s="118">
        <f t="shared" si="6"/>
        <v>-210993.72</v>
      </c>
      <c r="F38" s="118">
        <f t="shared" si="6"/>
        <v>-1539872.095</v>
      </c>
      <c r="G38" s="118">
        <f t="shared" si="6"/>
        <v>-348202.88</v>
      </c>
      <c r="H38" s="118">
        <f t="shared" si="6"/>
        <v>-695876</v>
      </c>
      <c r="I38" s="236">
        <f t="shared" si="6"/>
        <v>-347898.44000000006</v>
      </c>
      <c r="J38" s="74">
        <f>SUM(J32:J37)</f>
        <v>-13945312.01</v>
      </c>
      <c r="K38" s="38"/>
      <c r="L38" s="91"/>
      <c r="M38" s="90"/>
      <c r="O38" s="27">
        <f t="shared" si="1"/>
        <v>-596397.32571428583</v>
      </c>
    </row>
    <row r="39" spans="1:15" s="71" customFormat="1">
      <c r="A39" s="71" t="s">
        <v>923</v>
      </c>
      <c r="D39" s="121"/>
      <c r="E39" s="121"/>
      <c r="F39" s="121"/>
      <c r="G39" s="121"/>
      <c r="H39" s="121"/>
      <c r="I39" s="238"/>
      <c r="J39" s="70"/>
      <c r="K39" s="70"/>
      <c r="L39" s="72"/>
      <c r="M39" s="72"/>
      <c r="O39" s="27"/>
    </row>
    <row r="40" spans="1:15" s="35" customFormat="1">
      <c r="A40" s="79">
        <v>291</v>
      </c>
      <c r="B40" s="79">
        <v>8987</v>
      </c>
      <c r="C40" s="79" t="s">
        <v>610</v>
      </c>
      <c r="D40" s="117">
        <v>-5460.81</v>
      </c>
      <c r="E40" s="117">
        <v>-7756.8</v>
      </c>
      <c r="F40" s="117">
        <v>-11635.2</v>
      </c>
      <c r="G40" s="117">
        <v>-9423.76</v>
      </c>
      <c r="H40" s="117">
        <v>-18000</v>
      </c>
      <c r="I40" s="235">
        <v>-10792.84</v>
      </c>
      <c r="J40" s="84">
        <f>TECHNICAL!J188</f>
        <v>-19612.1314285714</v>
      </c>
      <c r="K40" s="38"/>
      <c r="L40" s="91"/>
      <c r="M40" s="91"/>
      <c r="O40" s="27">
        <f t="shared" si="1"/>
        <v>-18502.01142857143</v>
      </c>
    </row>
    <row r="41" spans="1:15" s="35" customFormat="1">
      <c r="D41" s="118">
        <f>SUM(D40:D40)</f>
        <v>-5460.81</v>
      </c>
      <c r="E41" s="118">
        <f>SUM(E40:E40)</f>
        <v>-7756.8</v>
      </c>
      <c r="F41" s="118">
        <f>SUM(F40:F40)</f>
        <v>-11635.2</v>
      </c>
      <c r="G41" s="118">
        <f>SUM(G40:G40)</f>
        <v>-9423.76</v>
      </c>
      <c r="H41" s="118">
        <f>H40</f>
        <v>-18000</v>
      </c>
      <c r="I41" s="236">
        <f>I40</f>
        <v>-10792.84</v>
      </c>
      <c r="J41" s="74">
        <f>J40</f>
        <v>-19612.1314285714</v>
      </c>
      <c r="K41" s="38"/>
      <c r="L41" s="38"/>
      <c r="O41" s="27">
        <f t="shared" si="1"/>
        <v>-18502.01142857143</v>
      </c>
    </row>
    <row r="42" spans="1:15" s="71" customFormat="1">
      <c r="A42" s="71" t="s">
        <v>923</v>
      </c>
      <c r="D42" s="121"/>
      <c r="E42" s="121"/>
      <c r="F42" s="121"/>
      <c r="G42" s="121"/>
      <c r="H42" s="121"/>
      <c r="I42" s="238"/>
      <c r="J42" s="70"/>
      <c r="K42" s="70"/>
      <c r="O42" s="27"/>
    </row>
    <row r="43" spans="1:15" s="35" customFormat="1">
      <c r="A43" s="79">
        <v>293</v>
      </c>
      <c r="B43" s="79">
        <v>8911</v>
      </c>
      <c r="C43" s="79" t="s">
        <v>567</v>
      </c>
      <c r="D43" s="117">
        <v>-15632.74</v>
      </c>
      <c r="E43" s="117">
        <v>-13620.16</v>
      </c>
      <c r="F43" s="117">
        <v>-20430.240000000002</v>
      </c>
      <c r="G43" s="117">
        <v>-10243.049999999999</v>
      </c>
      <c r="H43" s="117">
        <v>-20430.240000000002</v>
      </c>
      <c r="I43" s="235">
        <v>-13614.47</v>
      </c>
      <c r="J43" s="84">
        <f>TECHNICAL!J264</f>
        <v>-30000</v>
      </c>
      <c r="K43" s="70"/>
      <c r="L43" s="38"/>
      <c r="M43" s="38"/>
      <c r="N43" s="38"/>
      <c r="O43" s="27">
        <f t="shared" si="1"/>
        <v>-23339.091428571428</v>
      </c>
    </row>
    <row r="44" spans="1:15" s="35" customFormat="1">
      <c r="D44" s="118">
        <f>SUM(D43:D43)</f>
        <v>-15632.74</v>
      </c>
      <c r="E44" s="118">
        <f>SUM(E43:E43)</f>
        <v>-13620.16</v>
      </c>
      <c r="F44" s="118">
        <f>SUM(F43:F43)</f>
        <v>-20430.240000000002</v>
      </c>
      <c r="G44" s="118">
        <f>SUM(G43:G43)</f>
        <v>-10243.049999999999</v>
      </c>
      <c r="H44" s="118">
        <f>H43</f>
        <v>-20430.240000000002</v>
      </c>
      <c r="I44" s="236">
        <f>I43</f>
        <v>-13614.47</v>
      </c>
      <c r="J44" s="74">
        <f>J43</f>
        <v>-30000</v>
      </c>
      <c r="K44" s="38"/>
      <c r="L44" s="38"/>
      <c r="O44" s="27">
        <f t="shared" si="1"/>
        <v>-23339.091428571428</v>
      </c>
    </row>
    <row r="45" spans="1:15">
      <c r="G45" s="115"/>
      <c r="H45" s="164"/>
      <c r="I45" s="243"/>
    </row>
    <row r="46" spans="1:15">
      <c r="G46" s="115"/>
      <c r="H46" s="164"/>
      <c r="I46" s="243"/>
    </row>
    <row r="47" spans="1:15" ht="15.75" thickBot="1">
      <c r="D47" s="125">
        <f t="shared" ref="D47:I47" si="7">D7+D10+D16+D19+D30+D38+D41+D44</f>
        <v>-1232742.77</v>
      </c>
      <c r="E47" s="125">
        <f t="shared" si="7"/>
        <v>-873672.55999999994</v>
      </c>
      <c r="F47" s="125">
        <f t="shared" si="7"/>
        <v>-2982701.1900000004</v>
      </c>
      <c r="G47" s="125">
        <f t="shared" si="7"/>
        <v>-807432.87000000011</v>
      </c>
      <c r="H47" s="125">
        <f t="shared" si="7"/>
        <v>-2228299.8950000005</v>
      </c>
      <c r="I47" s="262">
        <f t="shared" si="7"/>
        <v>-887034.91</v>
      </c>
      <c r="J47" s="75">
        <f>J7+J10+J16+J19+J30+J38+J41+J44</f>
        <v>-14928768.427142857</v>
      </c>
    </row>
    <row r="48" spans="1:15" ht="15.75" thickTop="1">
      <c r="G48" s="115"/>
      <c r="H48" s="164"/>
      <c r="I48" s="243"/>
    </row>
    <row r="49" spans="1:10">
      <c r="G49" s="115"/>
      <c r="H49" s="164"/>
      <c r="I49" s="243"/>
    </row>
    <row r="50" spans="1:10" ht="15.75" thickBot="1">
      <c r="A50" s="93" t="s">
        <v>1066</v>
      </c>
      <c r="B50" s="93"/>
      <c r="C50" s="93"/>
      <c r="G50" s="115"/>
      <c r="H50" s="164"/>
      <c r="I50" s="243"/>
    </row>
    <row r="51" spans="1:10" ht="16.5" thickTop="1" thickBot="1">
      <c r="D51" s="152" t="s">
        <v>1102</v>
      </c>
      <c r="F51" s="152" t="s">
        <v>1103</v>
      </c>
      <c r="G51" s="164"/>
      <c r="H51" s="152" t="s">
        <v>1117</v>
      </c>
      <c r="I51" s="243"/>
      <c r="J51"/>
    </row>
    <row r="52" spans="1:10">
      <c r="A52" t="s">
        <v>1067</v>
      </c>
      <c r="D52" s="115">
        <f t="shared" ref="D52:F53" si="8">F4</f>
        <v>-30000</v>
      </c>
      <c r="E52" s="115">
        <f t="shared" si="8"/>
        <v>-1957.69</v>
      </c>
      <c r="F52" s="115">
        <f t="shared" si="8"/>
        <v>-30000</v>
      </c>
      <c r="G52" s="115">
        <f>I4</f>
        <v>-3792.58</v>
      </c>
      <c r="H52" s="115">
        <f>J4</f>
        <v>-30000</v>
      </c>
      <c r="I52" s="243"/>
      <c r="J52"/>
    </row>
    <row r="53" spans="1:10">
      <c r="A53" t="s">
        <v>48</v>
      </c>
      <c r="D53" s="115">
        <f t="shared" si="8"/>
        <v>-1000</v>
      </c>
      <c r="E53" s="115">
        <f t="shared" si="8"/>
        <v>0</v>
      </c>
      <c r="F53" s="115">
        <f t="shared" si="8"/>
        <v>-1000</v>
      </c>
      <c r="G53" s="115">
        <f>I5</f>
        <v>0</v>
      </c>
      <c r="H53" s="115">
        <f>J5</f>
        <v>-1000</v>
      </c>
      <c r="I53" s="243"/>
      <c r="J53"/>
    </row>
    <row r="54" spans="1:10">
      <c r="A54" t="s">
        <v>1121</v>
      </c>
      <c r="D54" s="115"/>
      <c r="E54" s="115"/>
      <c r="F54" s="115"/>
      <c r="G54" s="115"/>
      <c r="H54" s="115">
        <f>J6</f>
        <v>-1714.2857142857099</v>
      </c>
      <c r="I54" s="243"/>
      <c r="J54"/>
    </row>
    <row r="55" spans="1:10">
      <c r="A55" t="s">
        <v>566</v>
      </c>
      <c r="D55" s="115">
        <f>E10+E13+E23+E34</f>
        <v>-77913.5</v>
      </c>
      <c r="E55" s="115">
        <f>F10+F13+F23+F34</f>
        <v>-1365752.63</v>
      </c>
      <c r="F55" s="115">
        <f>H10+H13+H23+H34</f>
        <v>-281400</v>
      </c>
      <c r="G55" s="115">
        <f>I10+I13+I23+I34</f>
        <v>-105422.03</v>
      </c>
      <c r="H55" s="115">
        <f>J10+J13+J23+J34</f>
        <v>-194179.76354285714</v>
      </c>
      <c r="I55" s="243"/>
      <c r="J55"/>
    </row>
    <row r="56" spans="1:10">
      <c r="A56" t="s">
        <v>1068</v>
      </c>
      <c r="D56" s="115">
        <f>F12+F14</f>
        <v>-1047959.44</v>
      </c>
      <c r="E56" s="115">
        <f>G12+G14</f>
        <v>-271260.24</v>
      </c>
      <c r="F56" s="115">
        <f>H12+H14</f>
        <v>-1047959.44</v>
      </c>
      <c r="G56" s="115">
        <f>I12+I14</f>
        <v>-326810.02</v>
      </c>
      <c r="H56" s="115">
        <f>J12+J14</f>
        <v>-565000</v>
      </c>
      <c r="I56" s="243"/>
      <c r="J56"/>
    </row>
    <row r="57" spans="1:10">
      <c r="A57" t="s">
        <v>1069</v>
      </c>
      <c r="D57" s="115">
        <f>F15</f>
        <v>-22000</v>
      </c>
      <c r="E57" s="115">
        <f>G15</f>
        <v>-19770.09</v>
      </c>
      <c r="F57" s="115">
        <f>H15</f>
        <v>-40000</v>
      </c>
      <c r="G57" s="115">
        <f>I15</f>
        <v>-22625.75</v>
      </c>
      <c r="H57" s="115">
        <f>J15</f>
        <v>-40000</v>
      </c>
      <c r="I57" s="243"/>
      <c r="J57"/>
    </row>
    <row r="58" spans="1:10">
      <c r="A58" t="s">
        <v>1070</v>
      </c>
      <c r="D58" s="115">
        <f>F18</f>
        <v>-184.215</v>
      </c>
      <c r="E58" s="115">
        <f>G18</f>
        <v>0</v>
      </c>
      <c r="F58" s="115">
        <f>H19</f>
        <v>-184.215</v>
      </c>
      <c r="G58" s="115">
        <f>I19</f>
        <v>0</v>
      </c>
      <c r="H58" s="115">
        <f>J19</f>
        <v>0</v>
      </c>
      <c r="I58" s="243"/>
      <c r="J58"/>
    </row>
    <row r="59" spans="1:10">
      <c r="A59" t="s">
        <v>1071</v>
      </c>
      <c r="D59" s="115">
        <f t="shared" ref="D59:F60" si="9">F21</f>
        <v>0</v>
      </c>
      <c r="E59" s="115">
        <f t="shared" si="9"/>
        <v>0</v>
      </c>
      <c r="F59" s="115">
        <f t="shared" si="9"/>
        <v>0</v>
      </c>
      <c r="G59" s="115">
        <f>I21</f>
        <v>0</v>
      </c>
      <c r="H59" s="115">
        <f>J21</f>
        <v>0</v>
      </c>
      <c r="I59" s="243"/>
      <c r="J59"/>
    </row>
    <row r="60" spans="1:10">
      <c r="A60" t="s">
        <v>1072</v>
      </c>
      <c r="D60" s="115">
        <f t="shared" si="9"/>
        <v>-42000</v>
      </c>
      <c r="E60" s="115">
        <f t="shared" si="9"/>
        <v>-8771.92</v>
      </c>
      <c r="F60" s="115">
        <f t="shared" si="9"/>
        <v>-42000</v>
      </c>
      <c r="G60" s="115">
        <f>I22</f>
        <v>-8771.92</v>
      </c>
      <c r="H60" s="115">
        <f>J22</f>
        <v>-20000</v>
      </c>
      <c r="I60" s="243"/>
      <c r="J60"/>
    </row>
    <row r="61" spans="1:10">
      <c r="A61" t="s">
        <v>1073</v>
      </c>
      <c r="D61" s="115">
        <f>F24</f>
        <v>-8300</v>
      </c>
      <c r="E61" s="115">
        <f>G24</f>
        <v>-49229.29</v>
      </c>
      <c r="F61" s="115">
        <f>H24</f>
        <v>-80000</v>
      </c>
      <c r="G61" s="115">
        <f>I24</f>
        <v>-50636.37</v>
      </c>
      <c r="H61" s="115">
        <f>J24</f>
        <v>-87000</v>
      </c>
      <c r="I61" s="243"/>
      <c r="J61"/>
    </row>
    <row r="62" spans="1:10">
      <c r="A62" t="s">
        <v>1122</v>
      </c>
      <c r="D62" s="115"/>
      <c r="E62" s="115"/>
      <c r="F62" s="115"/>
      <c r="G62" s="115"/>
      <c r="H62" s="115">
        <f>J25</f>
        <v>-2200</v>
      </c>
      <c r="I62" s="243"/>
      <c r="J62"/>
    </row>
    <row r="63" spans="1:10">
      <c r="A63" t="s">
        <v>1074</v>
      </c>
      <c r="D63" s="115">
        <f t="shared" ref="D63:E65" si="10">F26</f>
        <v>-1000</v>
      </c>
      <c r="E63" s="115">
        <f t="shared" si="10"/>
        <v>-284.29000000000002</v>
      </c>
      <c r="F63" s="115">
        <f t="shared" ref="F63:H65" si="11">H26</f>
        <v>-1000</v>
      </c>
      <c r="G63" s="115">
        <f t="shared" si="11"/>
        <v>-1205.3399999999999</v>
      </c>
      <c r="H63" s="115">
        <f t="shared" si="11"/>
        <v>-1400</v>
      </c>
      <c r="I63" s="243"/>
      <c r="J63"/>
    </row>
    <row r="64" spans="1:10">
      <c r="A64" t="s">
        <v>1075</v>
      </c>
      <c r="D64" s="115">
        <f t="shared" si="10"/>
        <v>-7000</v>
      </c>
      <c r="E64" s="115">
        <f t="shared" si="10"/>
        <v>-5340.66</v>
      </c>
      <c r="F64" s="115">
        <f t="shared" si="11"/>
        <v>-10000</v>
      </c>
      <c r="G64" s="115">
        <f t="shared" si="11"/>
        <v>-6046.94</v>
      </c>
      <c r="H64" s="115">
        <f t="shared" si="11"/>
        <v>-11000</v>
      </c>
      <c r="I64" s="243"/>
      <c r="J64"/>
    </row>
    <row r="65" spans="1:10">
      <c r="A65" t="s">
        <v>1076</v>
      </c>
      <c r="D65" s="115">
        <f t="shared" si="10"/>
        <v>-620</v>
      </c>
      <c r="E65" s="115">
        <f t="shared" si="10"/>
        <v>-77.94</v>
      </c>
      <c r="F65" s="115">
        <f t="shared" si="11"/>
        <v>-450</v>
      </c>
      <c r="G65" s="115">
        <f t="shared" si="11"/>
        <v>-77.94</v>
      </c>
      <c r="H65" s="115">
        <f t="shared" si="11"/>
        <v>-130</v>
      </c>
      <c r="I65" s="243"/>
      <c r="J65" s="27"/>
    </row>
    <row r="66" spans="1:10">
      <c r="A66" t="s">
        <v>1077</v>
      </c>
      <c r="D66" s="115">
        <f>F32+F35+F43</f>
        <v>-425277.74</v>
      </c>
      <c r="E66" s="115">
        <f>G32+G35+G43</f>
        <v>-334340.18</v>
      </c>
      <c r="F66" s="115">
        <f>H32+H35+H43</f>
        <v>-650430.24</v>
      </c>
      <c r="G66" s="115">
        <f>I32+I35+I43</f>
        <v>-337407.16</v>
      </c>
      <c r="H66" s="115">
        <f>J32+J35+J43</f>
        <v>-618377.57285714301</v>
      </c>
      <c r="I66" s="243"/>
      <c r="J66"/>
    </row>
    <row r="67" spans="1:10">
      <c r="A67" t="s">
        <v>1078</v>
      </c>
      <c r="D67" s="115">
        <f>F33</f>
        <v>-18919.34</v>
      </c>
      <c r="E67" s="115">
        <f>G33</f>
        <v>-11150.66</v>
      </c>
      <c r="F67" s="115">
        <f>H33</f>
        <v>-21876</v>
      </c>
      <c r="G67" s="115">
        <f>I33</f>
        <v>-11150.66</v>
      </c>
      <c r="H67" s="115">
        <f>J33</f>
        <v>-20262.342171428572</v>
      </c>
      <c r="I67" s="243"/>
      <c r="J67"/>
    </row>
    <row r="68" spans="1:10">
      <c r="A68" t="s">
        <v>1079</v>
      </c>
      <c r="D68" s="115">
        <f>F36</f>
        <v>-1052.625</v>
      </c>
      <c r="E68" s="115">
        <f>G36</f>
        <v>-2070</v>
      </c>
      <c r="F68" s="115">
        <f>H36</f>
        <v>-4000</v>
      </c>
      <c r="G68" s="115">
        <f>I36</f>
        <v>-2070</v>
      </c>
      <c r="H68" s="115">
        <f>J36</f>
        <v>-3761.4814285714297</v>
      </c>
      <c r="I68" s="243"/>
      <c r="J68"/>
    </row>
    <row r="69" spans="1:10">
      <c r="A69" t="s">
        <v>610</v>
      </c>
      <c r="D69" s="115">
        <f>F41</f>
        <v>-11635.2</v>
      </c>
      <c r="E69" s="115">
        <v>-11192.38</v>
      </c>
      <c r="F69" s="115">
        <f>H41</f>
        <v>-18000</v>
      </c>
      <c r="G69" s="115">
        <f>I41</f>
        <v>-10792.84</v>
      </c>
      <c r="H69" s="115">
        <f>J41</f>
        <v>-19612.1314285714</v>
      </c>
      <c r="I69" s="239"/>
      <c r="J69" s="38"/>
    </row>
    <row r="70" spans="1:10">
      <c r="A70" t="s">
        <v>1095</v>
      </c>
      <c r="D70" s="115">
        <v>-50000000</v>
      </c>
      <c r="E70" s="115">
        <v>-50000000</v>
      </c>
      <c r="F70" s="115">
        <v>-30000000</v>
      </c>
      <c r="G70" s="115">
        <v>-30000000</v>
      </c>
      <c r="H70" s="115">
        <v>-16294010.050000001</v>
      </c>
      <c r="I70" s="243"/>
      <c r="J70"/>
    </row>
    <row r="71" spans="1:10">
      <c r="A71" s="339" t="s">
        <v>1140</v>
      </c>
      <c r="D71" s="115"/>
      <c r="E71" s="115"/>
      <c r="F71" s="115"/>
      <c r="G71" s="115"/>
      <c r="H71" s="115">
        <f>J37</f>
        <v>-13313130.85</v>
      </c>
      <c r="I71" s="243"/>
      <c r="J71"/>
    </row>
    <row r="72" spans="1:10" ht="15.75" thickBot="1">
      <c r="D72" s="125">
        <f>SUM(D52:D70)</f>
        <v>-51694862.060000002</v>
      </c>
      <c r="E72" s="125">
        <f>SUM(E52:E70)</f>
        <v>-52081197.969999999</v>
      </c>
      <c r="F72" s="125">
        <f>SUM(F52:F70)</f>
        <v>-32228299.895</v>
      </c>
      <c r="G72" s="125">
        <f>SUM(G52:G70)</f>
        <v>-30886809.550000001</v>
      </c>
      <c r="H72" s="125">
        <f>SUM(H52:H71)</f>
        <v>-31222778.477142856</v>
      </c>
      <c r="I72" s="243"/>
      <c r="J72"/>
    </row>
    <row r="73" spans="1:10" ht="15.75" thickTop="1">
      <c r="G73" s="115"/>
      <c r="H73" s="164"/>
      <c r="I73" s="243"/>
    </row>
    <row r="74" spans="1:10">
      <c r="G74" s="115"/>
      <c r="H74" s="164"/>
      <c r="I74" s="243"/>
    </row>
    <row r="75" spans="1:10">
      <c r="G75" s="115"/>
      <c r="H75" s="164"/>
      <c r="I75" s="243"/>
    </row>
    <row r="76" spans="1:10">
      <c r="G76" s="115"/>
      <c r="H76" s="164"/>
      <c r="I76" s="243"/>
    </row>
    <row r="77" spans="1:10">
      <c r="G77" s="115"/>
      <c r="H77" s="164"/>
      <c r="I77" s="243"/>
    </row>
    <row r="78" spans="1:10">
      <c r="G78" s="115"/>
      <c r="H78" s="164"/>
      <c r="I78" s="243"/>
    </row>
    <row r="79" spans="1:10">
      <c r="G79" s="115"/>
      <c r="H79" s="164"/>
      <c r="I79" s="243"/>
    </row>
    <row r="80" spans="1:10">
      <c r="G80" s="115"/>
      <c r="H80" s="164"/>
      <c r="I80" s="243"/>
    </row>
    <row r="81" spans="7:9">
      <c r="G81" s="115"/>
      <c r="H81" s="164"/>
      <c r="I81" s="243"/>
    </row>
    <row r="82" spans="7:9">
      <c r="G82" s="115"/>
      <c r="H82" s="164"/>
      <c r="I82" s="243"/>
    </row>
    <row r="83" spans="7:9">
      <c r="G83" s="115"/>
      <c r="H83" s="164"/>
      <c r="I83" s="243"/>
    </row>
    <row r="84" spans="7:9">
      <c r="G84" s="115"/>
      <c r="H84" s="164"/>
      <c r="I84" s="243"/>
    </row>
    <row r="85" spans="7:9">
      <c r="G85" s="115"/>
      <c r="H85" s="164"/>
      <c r="I85" s="243"/>
    </row>
    <row r="86" spans="7:9">
      <c r="G86" s="115"/>
      <c r="H86" s="164"/>
      <c r="I86" s="243"/>
    </row>
    <row r="87" spans="7:9">
      <c r="G87" s="115"/>
      <c r="H87" s="164"/>
      <c r="I87" s="243"/>
    </row>
    <row r="88" spans="7:9">
      <c r="G88" s="115"/>
      <c r="H88" s="164"/>
      <c r="I88" s="243"/>
    </row>
    <row r="89" spans="7:9">
      <c r="G89" s="115"/>
      <c r="H89" s="164"/>
      <c r="I89" s="243"/>
    </row>
    <row r="90" spans="7:9">
      <c r="G90" s="115"/>
      <c r="H90" s="164"/>
      <c r="I90" s="243"/>
    </row>
    <row r="91" spans="7:9">
      <c r="G91" s="115"/>
      <c r="H91" s="164"/>
      <c r="I91" s="243"/>
    </row>
    <row r="92" spans="7:9">
      <c r="G92" s="115"/>
      <c r="H92" s="164"/>
      <c r="I92" s="243"/>
    </row>
    <row r="93" spans="7:9">
      <c r="G93" s="115"/>
      <c r="H93" s="164"/>
      <c r="I93" s="243"/>
    </row>
    <row r="94" spans="7:9">
      <c r="G94" s="115"/>
      <c r="H94" s="164"/>
      <c r="I94" s="243"/>
    </row>
    <row r="95" spans="7:9">
      <c r="G95" s="115"/>
      <c r="H95" s="164"/>
      <c r="I95" s="243"/>
    </row>
    <row r="96" spans="7:9">
      <c r="G96" s="115"/>
      <c r="H96" s="164"/>
      <c r="I96" s="243"/>
    </row>
    <row r="97" spans="7:9">
      <c r="G97" s="115"/>
      <c r="H97" s="164"/>
      <c r="I97" s="243"/>
    </row>
  </sheetData>
  <pageMargins left="0.70866141732283472" right="0.70866141732283472" top="0.74803149606299213" bottom="0.74803149606299213" header="0.31496062992125984" footer="0.31496062992125984"/>
  <pageSetup scale="4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30" workbookViewId="0">
      <selection activeCell="G56" sqref="G56"/>
    </sheetView>
  </sheetViews>
  <sheetFormatPr defaultRowHeight="15"/>
  <cols>
    <col min="1" max="1" width="47" bestFit="1" customWidth="1"/>
    <col min="3" max="3" width="17.42578125" style="27" bestFit="1" customWidth="1"/>
    <col min="4" max="4" width="26" style="27" customWidth="1"/>
    <col min="5" max="6" width="15.85546875" hidden="1" customWidth="1"/>
    <col min="7" max="7" width="26" style="27" bestFit="1" customWidth="1"/>
    <col min="8" max="8" width="23.85546875" style="27" bestFit="1" customWidth="1"/>
    <col min="9" max="9" width="16.5703125" style="372" bestFit="1" customWidth="1"/>
    <col min="10" max="10" width="15.85546875" bestFit="1" customWidth="1"/>
  </cols>
  <sheetData>
    <row r="1" spans="1:9" s="1" customFormat="1" ht="15.75" thickBot="1">
      <c r="A1" s="205" t="s">
        <v>1119</v>
      </c>
      <c r="B1" s="60"/>
      <c r="C1" s="64"/>
      <c r="D1" s="41"/>
      <c r="G1" s="44"/>
      <c r="H1" s="44"/>
      <c r="I1" s="372"/>
    </row>
    <row r="2" spans="1:9" ht="15.75" thickBot="1">
      <c r="A2" s="147"/>
      <c r="B2" s="147"/>
      <c r="C2" s="204" t="s">
        <v>1102</v>
      </c>
      <c r="D2" s="152" t="s">
        <v>1103</v>
      </c>
      <c r="G2" s="152" t="s">
        <v>1123</v>
      </c>
      <c r="I2" s="373" t="s">
        <v>1154</v>
      </c>
    </row>
    <row r="3" spans="1:9" ht="15.75" thickBot="1">
      <c r="A3" s="60" t="s">
        <v>1009</v>
      </c>
      <c r="B3" s="42"/>
    </row>
    <row r="4" spans="1:9">
      <c r="E4" s="43" t="s">
        <v>1094</v>
      </c>
    </row>
    <row r="5" spans="1:9">
      <c r="A5" t="s">
        <v>1006</v>
      </c>
      <c r="C5" s="27">
        <f>FINANCE!F66</f>
        <v>-37549087</v>
      </c>
      <c r="D5" s="27">
        <f>FINANCE!H66</f>
        <v>-37549087</v>
      </c>
      <c r="E5" s="27">
        <f>FINANCE!K66</f>
        <v>-35423667.210000001</v>
      </c>
      <c r="F5" s="27">
        <f>FINANCE!L66</f>
        <v>-40175148.446400002</v>
      </c>
      <c r="G5" s="27">
        <f>FINANCE!J66</f>
        <v>-40175148.446400002</v>
      </c>
    </row>
    <row r="6" spans="1:9" ht="15.75" thickBot="1">
      <c r="A6" s="357" t="s">
        <v>493</v>
      </c>
      <c r="B6" s="357"/>
      <c r="C6" s="33">
        <f>FINANCE!F67</f>
        <v>18753079.395</v>
      </c>
      <c r="D6" s="33">
        <f>FINANCE!H67</f>
        <v>18753079.395</v>
      </c>
      <c r="E6" s="33">
        <v>5200000</v>
      </c>
      <c r="F6" s="357"/>
      <c r="G6" s="33">
        <f>FINANCE!J67</f>
        <v>21446497.360800002</v>
      </c>
    </row>
    <row r="7" spans="1:9" ht="15.75" thickBot="1">
      <c r="A7" s="357" t="s">
        <v>1150</v>
      </c>
      <c r="B7" s="357"/>
      <c r="C7" s="33">
        <v>0</v>
      </c>
      <c r="D7" s="33">
        <v>265445</v>
      </c>
      <c r="E7" s="33"/>
      <c r="F7" s="357"/>
      <c r="G7" s="33">
        <v>300000</v>
      </c>
      <c r="H7" s="358">
        <f>G5+G6+G7</f>
        <v>-18428651.0856</v>
      </c>
      <c r="I7" s="372">
        <f>+H7/$G$23</f>
        <v>5.9871136208722413E-2</v>
      </c>
    </row>
    <row r="8" spans="1:9" ht="15.75" thickBot="1">
      <c r="A8" t="s">
        <v>577</v>
      </c>
      <c r="C8" s="27">
        <f>TECHNICAL!F125+TECHNICAL!F126</f>
        <v>-44787932</v>
      </c>
      <c r="D8" s="27">
        <f>TECHNICAL!H125+TECHNICAL!H126</f>
        <v>-44787932</v>
      </c>
      <c r="E8" s="27">
        <f>C8*10/100+C8</f>
        <v>-49266725.200000003</v>
      </c>
      <c r="G8" s="27">
        <f>TECHNICAL!J125+TECHNICAL!J126</f>
        <v>-50017585.858210295</v>
      </c>
    </row>
    <row r="9" spans="1:9" ht="15.75" thickBot="1">
      <c r="A9" s="357" t="s">
        <v>1150</v>
      </c>
      <c r="B9" s="357"/>
      <c r="C9" s="33">
        <v>3580629</v>
      </c>
      <c r="D9" s="33">
        <v>3580629</v>
      </c>
      <c r="E9" s="33"/>
      <c r="F9" s="357"/>
      <c r="G9" s="33">
        <v>2044731.1714285701</v>
      </c>
      <c r="H9" s="358">
        <f>G8+G9</f>
        <v>-47972854.686781727</v>
      </c>
      <c r="I9" s="372">
        <f t="shared" ref="I9:I15" si="0">+H9/$G$23</f>
        <v>0.15585456059330688</v>
      </c>
    </row>
    <row r="10" spans="1:9" ht="15.75" thickBot="1">
      <c r="A10" t="s">
        <v>663</v>
      </c>
      <c r="C10" s="27">
        <f>TECHNICAL!F265</f>
        <v>-48760000</v>
      </c>
      <c r="D10" s="27">
        <f>TECHNICAL!H265</f>
        <v>-48760000</v>
      </c>
      <c r="E10" s="27">
        <f>C10*10/100+C10</f>
        <v>-53636000</v>
      </c>
      <c r="G10" s="27">
        <f>TECHNICAL!J265</f>
        <v>-55618307.108571425</v>
      </c>
    </row>
    <row r="11" spans="1:9" ht="15.75" thickBot="1">
      <c r="A11" s="357" t="s">
        <v>1150</v>
      </c>
      <c r="B11" s="357"/>
      <c r="C11" s="33">
        <v>1360641</v>
      </c>
      <c r="D11" s="33">
        <v>5323030</v>
      </c>
      <c r="E11" s="33"/>
      <c r="F11" s="357"/>
      <c r="G11" s="33">
        <v>5678628.3599999994</v>
      </c>
      <c r="H11" s="358">
        <f>G10+G11</f>
        <v>-49939678.748571426</v>
      </c>
      <c r="I11" s="372">
        <f t="shared" si="0"/>
        <v>0.16224439296655191</v>
      </c>
    </row>
    <row r="12" spans="1:9" ht="15.75" thickBot="1">
      <c r="A12" t="s">
        <v>930</v>
      </c>
      <c r="C12" s="27">
        <f>TECHNICAL!F187</f>
        <v>-24971059</v>
      </c>
      <c r="D12" s="27">
        <f>TECHNICAL!H187</f>
        <v>-24971059</v>
      </c>
      <c r="E12" s="27">
        <f>C12*10/100+C12</f>
        <v>-27468164.899999999</v>
      </c>
      <c r="G12" s="27">
        <f>TECHNICAL!J187</f>
        <v>-24562880.279657144</v>
      </c>
    </row>
    <row r="13" spans="1:9" ht="15.75" thickBot="1">
      <c r="A13" s="357" t="s">
        <v>1150</v>
      </c>
      <c r="B13" s="357"/>
      <c r="C13" s="33">
        <v>8138078</v>
      </c>
      <c r="D13" s="33">
        <v>3777656</v>
      </c>
      <c r="E13" s="33"/>
      <c r="F13" s="357"/>
      <c r="G13" s="33">
        <v>4050489.7714285715</v>
      </c>
      <c r="H13" s="358">
        <f>G12+G13</f>
        <v>-20512390.508228574</v>
      </c>
      <c r="I13" s="372">
        <f t="shared" si="0"/>
        <v>6.6640804059950168E-2</v>
      </c>
    </row>
    <row r="14" spans="1:9" ht="15.75" thickBot="1">
      <c r="A14" t="s">
        <v>369</v>
      </c>
      <c r="C14" s="27">
        <v>-24350099</v>
      </c>
      <c r="D14" s="27">
        <f>'COMMUNITY SERVICES'!H287</f>
        <v>-24350099</v>
      </c>
      <c r="E14" s="27">
        <f>C14*10/100+C14</f>
        <v>-26785108.899999999</v>
      </c>
      <c r="G14" s="27">
        <f>'COMMUNITY SERVICES'!J287</f>
        <v>-24766608.238571398</v>
      </c>
    </row>
    <row r="15" spans="1:9" ht="15.75" thickBot="1">
      <c r="A15" s="357" t="s">
        <v>1150</v>
      </c>
      <c r="B15" s="357"/>
      <c r="C15" s="33">
        <v>9419663</v>
      </c>
      <c r="D15" s="33">
        <v>4380981</v>
      </c>
      <c r="E15" s="33"/>
      <c r="F15" s="357"/>
      <c r="G15" s="33">
        <v>4693447.81714286</v>
      </c>
      <c r="H15" s="358">
        <f>G14+G15</f>
        <v>-20073160.421428539</v>
      </c>
      <c r="I15" s="372">
        <f t="shared" si="0"/>
        <v>6.5213830146795881E-2</v>
      </c>
    </row>
    <row r="16" spans="1:9">
      <c r="A16" t="s">
        <v>1024</v>
      </c>
      <c r="C16" s="27">
        <f>'RENT REVENUE'!F8</f>
        <v>-408910.39</v>
      </c>
      <c r="D16" s="27">
        <f>'RENT REVENUE'!H8</f>
        <v>-366900</v>
      </c>
      <c r="E16" s="27">
        <f t="shared" ref="E16:E21" si="1">C16</f>
        <v>-408910.39</v>
      </c>
      <c r="G16" s="27">
        <f>'RENT REVENUE'!J8</f>
        <v>-326360.39428571396</v>
      </c>
      <c r="I16" s="372">
        <f t="shared" ref="I16:I21" si="2">+G16/$G$23</f>
        <v>1.060282031964911E-3</v>
      </c>
    </row>
    <row r="17" spans="1:9">
      <c r="A17" t="s">
        <v>1007</v>
      </c>
      <c r="C17" s="27">
        <v>-12000000</v>
      </c>
      <c r="D17" s="27">
        <f>FINANCE!H73</f>
        <v>-22577416</v>
      </c>
      <c r="E17" s="27">
        <f t="shared" si="1"/>
        <v>-12000000</v>
      </c>
      <c r="G17" s="27">
        <f>FINANCE!J73</f>
        <v>-35727393</v>
      </c>
      <c r="I17" s="372">
        <f t="shared" si="2"/>
        <v>0.11607141525171009</v>
      </c>
    </row>
    <row r="18" spans="1:9">
      <c r="A18" t="s">
        <v>1008</v>
      </c>
      <c r="C18" s="27">
        <v>-644000</v>
      </c>
      <c r="D18" s="27">
        <f>FINANCE!H74</f>
        <v>-600000</v>
      </c>
      <c r="E18" s="27">
        <f t="shared" si="1"/>
        <v>-644000</v>
      </c>
      <c r="G18" s="27">
        <f>FINANCE!J74</f>
        <v>-400000</v>
      </c>
      <c r="I18" s="372">
        <f t="shared" si="2"/>
        <v>1.299522920709161E-3</v>
      </c>
    </row>
    <row r="19" spans="1:9">
      <c r="A19" t="s">
        <v>1025</v>
      </c>
      <c r="C19" s="27">
        <v>-180000</v>
      </c>
      <c r="D19" s="27">
        <f>'COMMUNITY SERVICES'!H323</f>
        <v>-180000</v>
      </c>
      <c r="E19" s="27">
        <f t="shared" si="1"/>
        <v>-180000</v>
      </c>
      <c r="G19" s="38">
        <f>'COMMUNITY SERVICES'!J325</f>
        <v>-200000</v>
      </c>
      <c r="I19" s="372">
        <f t="shared" si="2"/>
        <v>6.4976146035458052E-4</v>
      </c>
    </row>
    <row r="20" spans="1:9">
      <c r="A20" t="s">
        <v>1010</v>
      </c>
      <c r="C20" s="27">
        <f>GRANTS!G55</f>
        <v>-84163000</v>
      </c>
      <c r="D20" s="27">
        <f>GRANTS!H55</f>
        <v>-84163000</v>
      </c>
      <c r="E20" s="27">
        <f t="shared" si="1"/>
        <v>-84163000</v>
      </c>
      <c r="G20" s="27">
        <f>GRANTS!I55</f>
        <v>-83002000</v>
      </c>
      <c r="I20" s="372">
        <f t="shared" si="2"/>
        <v>0.26965750366175445</v>
      </c>
    </row>
    <row r="21" spans="1:9">
      <c r="A21" t="s">
        <v>1011</v>
      </c>
      <c r="C21" s="38">
        <f>'OTHER REVENUE'!D72+-172343.68</f>
        <v>-51867205.740000002</v>
      </c>
      <c r="D21" s="38">
        <f>'OTHER REVENUE'!F72</f>
        <v>-32228299.895</v>
      </c>
      <c r="E21" s="27">
        <f t="shared" si="1"/>
        <v>-51867205.740000002</v>
      </c>
      <c r="G21" s="27">
        <f>'OTHER REVENUE'!H72</f>
        <v>-31222778.477142856</v>
      </c>
      <c r="I21" s="372">
        <f t="shared" si="2"/>
        <v>0.10143679069817954</v>
      </c>
    </row>
    <row r="22" spans="1:9">
      <c r="F22" s="40">
        <f>'SUMMARY- PER DEPT'!B41</f>
        <v>-310928213.74000001</v>
      </c>
    </row>
    <row r="23" spans="1:9" ht="15.75" thickBot="1">
      <c r="A23" s="65" t="s">
        <v>1012</v>
      </c>
      <c r="B23" s="57"/>
      <c r="C23" s="62">
        <f>SUM(C5:C22)</f>
        <v>-288429202.73500001</v>
      </c>
      <c r="D23" s="62">
        <f>SUM(D5:D22)</f>
        <v>-284452972.5</v>
      </c>
      <c r="E23" s="62">
        <f>SUM(E5:E22)</f>
        <v>-336642782.34000003</v>
      </c>
      <c r="F23" s="62">
        <f>SUM(F5:F22)</f>
        <v>-351103362.1864</v>
      </c>
      <c r="G23" s="62">
        <f>SUM(G5:G22)</f>
        <v>-307805267.32203883</v>
      </c>
      <c r="H23" s="27">
        <f>H7+H9+H11+H13+H15</f>
        <v>-156926735.45061025</v>
      </c>
      <c r="I23" s="372">
        <f>+G23/$G$23</f>
        <v>1</v>
      </c>
    </row>
    <row r="24" spans="1:9" ht="16.5" thickTop="1" thickBot="1">
      <c r="F24" s="50">
        <f>F22-F23</f>
        <v>40175148.446399987</v>
      </c>
    </row>
    <row r="25" spans="1:9" ht="15.75" thickTop="1"/>
    <row r="26" spans="1:9" ht="15.75" thickBot="1">
      <c r="A26" s="60" t="s">
        <v>1013</v>
      </c>
    </row>
    <row r="28" spans="1:9">
      <c r="A28" t="s">
        <v>921</v>
      </c>
      <c r="C28" s="27">
        <f>70986000+1001441.79</f>
        <v>71987441.790000007</v>
      </c>
      <c r="D28" s="27">
        <f>SALARIES!H277</f>
        <v>70879339.513316229</v>
      </c>
      <c r="E28" s="27">
        <f>C28</f>
        <v>71987441.790000007</v>
      </c>
      <c r="G28" s="27">
        <f>SALARIES!J277</f>
        <v>75195699.884115234</v>
      </c>
      <c r="I28" s="372">
        <f t="shared" ref="I28:I38" si="3">+G28/$G$40</f>
        <v>0.24459837779626747</v>
      </c>
    </row>
    <row r="29" spans="1:9">
      <c r="A29" t="s">
        <v>1014</v>
      </c>
      <c r="C29" s="27">
        <v>6530442.4199999999</v>
      </c>
      <c r="D29" s="27">
        <v>6662935.4199999999</v>
      </c>
      <c r="E29" s="27">
        <f t="shared" ref="E29:E38" si="4">C29</f>
        <v>6530442.4199999999</v>
      </c>
      <c r="G29" s="27">
        <f>SALARIES!J280</f>
        <v>7062711.545859864</v>
      </c>
      <c r="I29" s="372">
        <f t="shared" si="3"/>
        <v>2.297375766995453E-2</v>
      </c>
    </row>
    <row r="30" spans="1:9">
      <c r="A30" t="s">
        <v>1015</v>
      </c>
      <c r="C30" s="27">
        <f>'BULK PURCHASES'!F4</f>
        <v>7300000</v>
      </c>
      <c r="D30" s="27">
        <f>'BULK PURCHASES'!H4</f>
        <v>850000</v>
      </c>
      <c r="E30" s="27">
        <f t="shared" si="4"/>
        <v>7300000</v>
      </c>
      <c r="G30" s="27">
        <f>'BULK PURCHASES'!J4</f>
        <v>971400.94285714289</v>
      </c>
      <c r="I30" s="372">
        <f t="shared" si="3"/>
        <v>3.1597963072196168E-3</v>
      </c>
    </row>
    <row r="31" spans="1:9">
      <c r="A31" t="s">
        <v>1016</v>
      </c>
      <c r="C31" s="27">
        <f>'BULK PURCHASES'!F3</f>
        <v>43134189.25</v>
      </c>
      <c r="D31" s="27">
        <f>'BULK PURCHASES'!H3</f>
        <v>38183983</v>
      </c>
      <c r="E31" s="27">
        <f t="shared" si="4"/>
        <v>43134189.25</v>
      </c>
      <c r="G31" s="27">
        <f>'BULK PURCHASES'!J3</f>
        <v>45000000</v>
      </c>
      <c r="I31" s="372">
        <f t="shared" si="3"/>
        <v>0.14637708030904573</v>
      </c>
    </row>
    <row r="32" spans="1:9">
      <c r="A32" t="s">
        <v>44</v>
      </c>
      <c r="C32" s="27">
        <f>'NON CASH'!G19</f>
        <v>64000000.0022</v>
      </c>
      <c r="D32" s="27">
        <f>'NON CASH'!H19</f>
        <v>67200000.002309993</v>
      </c>
      <c r="E32" s="27">
        <f t="shared" si="4"/>
        <v>64000000.0022</v>
      </c>
      <c r="F32" s="67"/>
      <c r="G32" s="27">
        <f>'NON CASH'!I19</f>
        <v>68544000.002356201</v>
      </c>
      <c r="I32" s="372">
        <f t="shared" si="3"/>
        <v>0.22296156873440276</v>
      </c>
    </row>
    <row r="33" spans="1:9">
      <c r="A33" t="s">
        <v>1017</v>
      </c>
      <c r="C33" s="27">
        <f>'NON CASH'!G30</f>
        <v>40316100</v>
      </c>
      <c r="D33" s="27">
        <f>'NON CASH'!H30</f>
        <v>40316100</v>
      </c>
      <c r="E33" s="27">
        <f t="shared" si="4"/>
        <v>40316100</v>
      </c>
      <c r="F33" s="67"/>
      <c r="G33" s="27">
        <f>'NON CASH'!I30</f>
        <v>41806091.440000005</v>
      </c>
      <c r="I33" s="372">
        <f t="shared" si="3"/>
        <v>0.13598785786933756</v>
      </c>
    </row>
    <row r="34" spans="1:9">
      <c r="A34" t="s">
        <v>1018</v>
      </c>
      <c r="C34" s="27">
        <f>FINANCE!F33</f>
        <v>1200000</v>
      </c>
      <c r="D34" s="27">
        <f>FINANCE!H34</f>
        <v>1200000</v>
      </c>
      <c r="E34" s="27">
        <f t="shared" si="4"/>
        <v>1200000</v>
      </c>
      <c r="F34" s="67"/>
      <c r="G34" s="27">
        <f>FINANCE!J33</f>
        <v>1200000</v>
      </c>
      <c r="I34" s="372">
        <f t="shared" si="3"/>
        <v>3.9033888082412194E-3</v>
      </c>
    </row>
    <row r="35" spans="1:9">
      <c r="A35" t="s">
        <v>927</v>
      </c>
      <c r="C35" s="27">
        <f>RME!F44</f>
        <v>10897913.225</v>
      </c>
      <c r="D35" s="27">
        <f>RME!H44</f>
        <v>11157913.225</v>
      </c>
      <c r="E35" s="27">
        <f t="shared" si="4"/>
        <v>10897913.225</v>
      </c>
      <c r="F35" s="67"/>
      <c r="G35" s="27">
        <f>RME!J44</f>
        <v>11212536.571428571</v>
      </c>
      <c r="I35" s="372">
        <f t="shared" si="3"/>
        <v>3.6472408137424715E-2</v>
      </c>
    </row>
    <row r="36" spans="1:9">
      <c r="A36" t="s">
        <v>1034</v>
      </c>
      <c r="C36" s="27">
        <v>6930000</v>
      </c>
      <c r="D36" s="27">
        <f>'CONTRACTED SERVICES'!H13</f>
        <v>7892608.7400000002</v>
      </c>
      <c r="E36" s="27">
        <f t="shared" si="4"/>
        <v>6930000</v>
      </c>
      <c r="F36" s="67"/>
      <c r="G36" s="27">
        <f>'CONTRACTED SERVICES'!I13</f>
        <v>8965486.7085714284</v>
      </c>
      <c r="I36" s="372">
        <f t="shared" si="3"/>
        <v>2.9163150398894267E-2</v>
      </c>
    </row>
    <row r="37" spans="1:9">
      <c r="A37" t="s">
        <v>1035</v>
      </c>
      <c r="C37" s="27">
        <v>0</v>
      </c>
      <c r="D37" s="27">
        <v>0</v>
      </c>
      <c r="E37" s="27">
        <f t="shared" si="4"/>
        <v>0</v>
      </c>
      <c r="F37" s="67"/>
      <c r="G37" s="27">
        <v>0</v>
      </c>
      <c r="I37" s="372">
        <f t="shared" si="3"/>
        <v>0</v>
      </c>
    </row>
    <row r="38" spans="1:9">
      <c r="A38" t="s">
        <v>1019</v>
      </c>
      <c r="C38" s="38">
        <f>'GENERAL EXPENDITURE'!F200</f>
        <v>38977576.217100002</v>
      </c>
      <c r="D38" s="38">
        <f>'GENERAL EXPENDITURE'!H200</f>
        <v>43784246</v>
      </c>
      <c r="E38" s="27">
        <f t="shared" si="4"/>
        <v>38977576.217100002</v>
      </c>
      <c r="F38" s="40">
        <f>'SUMMARY- PER DEPT'!B40</f>
        <v>304385165.90956998</v>
      </c>
      <c r="G38" s="27">
        <f>'GENERAL EXPENDITURE'!J200</f>
        <v>47467251.115714282</v>
      </c>
      <c r="I38" s="372">
        <f t="shared" si="3"/>
        <v>0.15440261396921223</v>
      </c>
    </row>
    <row r="39" spans="1:9">
      <c r="F39" s="40">
        <v>287513772.93000001</v>
      </c>
    </row>
    <row r="40" spans="1:9" ht="15.75" thickBot="1">
      <c r="A40" s="65" t="s">
        <v>1020</v>
      </c>
      <c r="B40" s="57"/>
      <c r="C40" s="62">
        <f>SUM(C28:C39)</f>
        <v>291273662.90430003</v>
      </c>
      <c r="D40" s="62">
        <f>SUM(D28:D39)</f>
        <v>288127125.90062618</v>
      </c>
      <c r="E40" s="62">
        <f>SUM(E28:E39)</f>
        <v>291273662.90430003</v>
      </c>
      <c r="F40" s="62">
        <f>SUM(F28:F39)</f>
        <v>591898938.83957005</v>
      </c>
      <c r="G40" s="62">
        <f>SUM(G28:G39)</f>
        <v>307425178.21090269</v>
      </c>
      <c r="I40" s="372">
        <f>+G40/$G$40</f>
        <v>1</v>
      </c>
    </row>
    <row r="41" spans="1:9" ht="15.75" thickTop="1"/>
    <row r="42" spans="1:9" hidden="1"/>
    <row r="43" spans="1:9" s="1" customFormat="1" ht="15.75" hidden="1" thickBot="1">
      <c r="A43" s="60" t="s">
        <v>853</v>
      </c>
      <c r="C43" s="44"/>
      <c r="D43" s="44"/>
      <c r="G43" s="44"/>
      <c r="H43" s="44"/>
      <c r="I43" s="372"/>
    </row>
    <row r="44" spans="1:9" hidden="1">
      <c r="A44" t="s">
        <v>147</v>
      </c>
      <c r="C44" s="27">
        <v>24633000</v>
      </c>
    </row>
    <row r="45" spans="1:9" hidden="1">
      <c r="A45" t="s">
        <v>300</v>
      </c>
      <c r="C45" s="27">
        <f>GRANTS!G58</f>
        <v>0</v>
      </c>
    </row>
    <row r="46" spans="1:9" hidden="1">
      <c r="A46" t="s">
        <v>569</v>
      </c>
      <c r="C46" s="27">
        <v>3240000</v>
      </c>
    </row>
    <row r="47" spans="1:9" hidden="1">
      <c r="A47" t="s">
        <v>608</v>
      </c>
      <c r="C47" s="27">
        <v>30000000</v>
      </c>
    </row>
    <row r="48" spans="1:9" hidden="1">
      <c r="A48" t="s">
        <v>1021</v>
      </c>
      <c r="C48" s="27">
        <v>4824000</v>
      </c>
    </row>
    <row r="49" spans="1:9" hidden="1">
      <c r="A49" t="s">
        <v>1027</v>
      </c>
      <c r="C49" s="27">
        <v>4900000</v>
      </c>
      <c r="H49" s="40"/>
      <c r="I49" s="374"/>
    </row>
    <row r="50" spans="1:9" ht="15.75" hidden="1" thickBot="1">
      <c r="C50" s="62">
        <f>SUM(C44:C49)</f>
        <v>67597000</v>
      </c>
      <c r="D50" s="55"/>
    </row>
    <row r="51" spans="1:9" hidden="1"/>
    <row r="53" spans="1:9" s="1" customFormat="1" ht="15.75" thickBot="1">
      <c r="A53" s="1" t="s">
        <v>1022</v>
      </c>
      <c r="C53" s="62">
        <f>C23+C40</f>
        <v>2844460.1693000197</v>
      </c>
      <c r="D53" s="62">
        <f>D23+D40</f>
        <v>3674153.4006261826</v>
      </c>
      <c r="E53" s="62">
        <f>E23+E40</f>
        <v>-45369119.435699999</v>
      </c>
      <c r="F53" s="62">
        <f>F23+F40</f>
        <v>240795576.65317005</v>
      </c>
      <c r="G53" s="62">
        <f>G23+G40</f>
        <v>-380089.11113613844</v>
      </c>
      <c r="H53" s="44"/>
      <c r="I53" s="372"/>
    </row>
    <row r="54" spans="1:9" ht="15.75" thickTop="1">
      <c r="C54"/>
      <c r="D54"/>
    </row>
    <row r="56" spans="1:9" ht="409.6">
      <c r="C56"/>
      <c r="D56"/>
      <c r="F56" s="42"/>
      <c r="G56" s="40"/>
      <c r="H56" s="40"/>
      <c r="I56" s="375"/>
    </row>
    <row r="57" spans="1:9" ht="409.6">
      <c r="C57"/>
      <c r="D57"/>
      <c r="F57" s="42"/>
      <c r="G57" s="40"/>
      <c r="H57" s="40"/>
      <c r="I57" s="375"/>
    </row>
    <row r="58" spans="1:9" ht="409.6">
      <c r="C58"/>
      <c r="D58"/>
      <c r="F58" s="39"/>
      <c r="G58" s="55"/>
      <c r="H58" s="40"/>
      <c r="I58" s="376"/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B9" zoomScaleNormal="100" workbookViewId="0">
      <selection activeCell="H40" sqref="H40"/>
    </sheetView>
  </sheetViews>
  <sheetFormatPr defaultRowHeight="15"/>
  <cols>
    <col min="4" max="4" width="23.85546875" bestFit="1" customWidth="1"/>
    <col min="6" max="6" width="17" style="2" customWidth="1"/>
    <col min="7" max="7" width="20.5703125" style="2" bestFit="1" customWidth="1"/>
    <col min="8" max="9" width="26" style="2" bestFit="1" customWidth="1"/>
    <col min="10" max="12" width="15" style="2" bestFit="1" customWidth="1"/>
    <col min="15" max="15" width="23.85546875" bestFit="1" customWidth="1"/>
    <col min="16" max="16" width="2" bestFit="1" customWidth="1"/>
    <col min="17" max="17" width="15.5703125" bestFit="1" customWidth="1"/>
    <col min="18" max="18" width="19.7109375" bestFit="1" customWidth="1"/>
    <col min="19" max="19" width="20.5703125" bestFit="1" customWidth="1"/>
  </cols>
  <sheetData>
    <row r="1" spans="1:9" ht="15.75" thickBot="1">
      <c r="F1" s="264"/>
      <c r="G1" s="264"/>
      <c r="H1" s="264"/>
      <c r="I1" s="264"/>
    </row>
    <row r="2" spans="1:9" ht="15.75" thickBot="1">
      <c r="F2" s="215" t="s">
        <v>916</v>
      </c>
      <c r="G2" s="215" t="s">
        <v>1102</v>
      </c>
      <c r="H2" s="152" t="s">
        <v>1103</v>
      </c>
      <c r="I2" s="152" t="s">
        <v>1123</v>
      </c>
    </row>
    <row r="3" spans="1:9">
      <c r="A3" t="s">
        <v>15</v>
      </c>
      <c r="B3">
        <v>219</v>
      </c>
      <c r="C3">
        <v>210</v>
      </c>
      <c r="D3" t="s">
        <v>44</v>
      </c>
      <c r="E3" t="s">
        <v>17</v>
      </c>
      <c r="F3" s="2">
        <v>15000</v>
      </c>
      <c r="G3" s="2">
        <f>F3*2/100+F3</f>
        <v>15300</v>
      </c>
      <c r="H3" s="2">
        <v>16065</v>
      </c>
      <c r="I3" s="2">
        <f>H3*2/100+H3</f>
        <v>16386.3</v>
      </c>
    </row>
    <row r="4" spans="1:9">
      <c r="A4" t="s">
        <v>15</v>
      </c>
      <c r="B4">
        <v>220</v>
      </c>
      <c r="C4">
        <v>210</v>
      </c>
      <c r="D4" t="s">
        <v>44</v>
      </c>
      <c r="E4" t="s">
        <v>17</v>
      </c>
      <c r="F4" s="2">
        <v>53648.160000000003</v>
      </c>
      <c r="G4" s="2">
        <f t="shared" ref="G4:G18" si="0">F4*2/100+F4</f>
        <v>54721.123200000002</v>
      </c>
      <c r="H4" s="2">
        <v>57457.179360000002</v>
      </c>
      <c r="I4" s="2">
        <f t="shared" ref="I4:I18" si="1">H4*2/100+H4</f>
        <v>58606.322947200002</v>
      </c>
    </row>
    <row r="5" spans="1:9">
      <c r="A5" t="s">
        <v>15</v>
      </c>
      <c r="B5">
        <v>229</v>
      </c>
      <c r="C5">
        <v>210</v>
      </c>
      <c r="D5" t="s">
        <v>44</v>
      </c>
      <c r="E5" t="s">
        <v>17</v>
      </c>
      <c r="F5" s="2">
        <v>25784.58</v>
      </c>
      <c r="G5" s="2">
        <f>F5*2/100+F5</f>
        <v>26300.2716</v>
      </c>
      <c r="H5" s="2">
        <v>27615.285179999999</v>
      </c>
      <c r="I5" s="2">
        <f t="shared" si="1"/>
        <v>28167.590883599998</v>
      </c>
    </row>
    <row r="6" spans="1:9">
      <c r="A6" t="s">
        <v>15</v>
      </c>
      <c r="B6">
        <v>230</v>
      </c>
      <c r="C6">
        <v>210</v>
      </c>
      <c r="D6" t="s">
        <v>44</v>
      </c>
      <c r="E6" t="s">
        <v>17</v>
      </c>
      <c r="F6" s="2">
        <v>79260</v>
      </c>
      <c r="G6" s="2">
        <f t="shared" si="0"/>
        <v>80845.2</v>
      </c>
      <c r="H6" s="2">
        <v>84887.46</v>
      </c>
      <c r="I6" s="2">
        <f t="shared" si="1"/>
        <v>86585.209200000012</v>
      </c>
    </row>
    <row r="7" spans="1:9">
      <c r="A7" t="s">
        <v>15</v>
      </c>
      <c r="B7">
        <v>239</v>
      </c>
      <c r="C7">
        <v>210</v>
      </c>
      <c r="D7" t="s">
        <v>44</v>
      </c>
      <c r="E7" t="s">
        <v>17</v>
      </c>
      <c r="F7" s="2">
        <v>53936.21</v>
      </c>
      <c r="G7" s="2">
        <f t="shared" si="0"/>
        <v>55014.934199999996</v>
      </c>
      <c r="H7" s="2">
        <v>57765.680909999995</v>
      </c>
      <c r="I7" s="2">
        <f t="shared" si="1"/>
        <v>58920.994528199997</v>
      </c>
    </row>
    <row r="8" spans="1:9">
      <c r="A8" t="s">
        <v>15</v>
      </c>
      <c r="B8">
        <v>244</v>
      </c>
      <c r="C8">
        <v>210</v>
      </c>
      <c r="D8" t="s">
        <v>44</v>
      </c>
      <c r="E8" t="s">
        <v>17</v>
      </c>
      <c r="F8" s="2">
        <v>2397080.89</v>
      </c>
      <c r="G8" s="2">
        <f>CORPORATE!F31</f>
        <v>2492964.13</v>
      </c>
      <c r="H8" s="2">
        <v>2617612.3365000002</v>
      </c>
      <c r="I8" s="2">
        <f t="shared" si="1"/>
        <v>2669964.58323</v>
      </c>
    </row>
    <row r="9" spans="1:9">
      <c r="A9" t="s">
        <v>15</v>
      </c>
      <c r="B9">
        <v>245</v>
      </c>
      <c r="C9">
        <v>210</v>
      </c>
      <c r="D9" t="s">
        <v>44</v>
      </c>
      <c r="E9" t="s">
        <v>17</v>
      </c>
      <c r="F9" s="2">
        <v>299904.56</v>
      </c>
      <c r="G9" s="2">
        <f t="shared" si="0"/>
        <v>305902.65120000002</v>
      </c>
      <c r="H9" s="2">
        <v>321197.78376000002</v>
      </c>
      <c r="I9" s="2">
        <f t="shared" si="1"/>
        <v>327621.7394352</v>
      </c>
    </row>
    <row r="10" spans="1:9">
      <c r="A10" t="s">
        <v>15</v>
      </c>
      <c r="B10">
        <v>262</v>
      </c>
      <c r="C10">
        <v>210</v>
      </c>
      <c r="D10" t="s">
        <v>44</v>
      </c>
      <c r="E10" t="s">
        <v>17</v>
      </c>
      <c r="F10" s="2">
        <v>41451.43</v>
      </c>
      <c r="G10" s="2">
        <f t="shared" si="0"/>
        <v>42280.458599999998</v>
      </c>
      <c r="H10" s="2">
        <v>44394.481529999997</v>
      </c>
      <c r="I10" s="2">
        <f t="shared" si="1"/>
        <v>45282.3711606</v>
      </c>
    </row>
    <row r="11" spans="1:9">
      <c r="A11" t="s">
        <v>15</v>
      </c>
      <c r="B11">
        <v>267</v>
      </c>
      <c r="C11">
        <v>210</v>
      </c>
      <c r="D11" t="s">
        <v>44</v>
      </c>
      <c r="E11" t="s">
        <v>17</v>
      </c>
      <c r="F11" s="2">
        <v>68411.539999999994</v>
      </c>
      <c r="G11" s="2">
        <f t="shared" si="0"/>
        <v>69779.770799999998</v>
      </c>
      <c r="H11" s="2">
        <v>73268.759340000004</v>
      </c>
      <c r="I11" s="2">
        <f t="shared" si="1"/>
        <v>74734.1345268</v>
      </c>
    </row>
    <row r="12" spans="1:9">
      <c r="A12" t="s">
        <v>15</v>
      </c>
      <c r="B12">
        <v>268</v>
      </c>
      <c r="C12">
        <v>210</v>
      </c>
      <c r="D12" t="s">
        <v>44</v>
      </c>
      <c r="E12" t="s">
        <v>17</v>
      </c>
      <c r="F12" s="2">
        <v>1442552.24</v>
      </c>
      <c r="G12" s="2">
        <f>F12*2/100+F12</f>
        <v>1471403.2848</v>
      </c>
      <c r="H12" s="2">
        <v>1544973.4490400001</v>
      </c>
      <c r="I12" s="2">
        <f t="shared" si="1"/>
        <v>1575872.9180208</v>
      </c>
    </row>
    <row r="13" spans="1:9">
      <c r="A13" t="s">
        <v>15</v>
      </c>
      <c r="B13">
        <v>274</v>
      </c>
      <c r="C13">
        <v>210</v>
      </c>
      <c r="D13" t="s">
        <v>404</v>
      </c>
      <c r="E13" t="s">
        <v>17</v>
      </c>
      <c r="F13" s="2">
        <v>509054.52</v>
      </c>
      <c r="G13" s="2">
        <f t="shared" si="0"/>
        <v>519235.61040000001</v>
      </c>
      <c r="H13" s="2">
        <v>545197.39092000003</v>
      </c>
      <c r="I13" s="2">
        <f t="shared" si="1"/>
        <v>556101.33873840002</v>
      </c>
    </row>
    <row r="14" spans="1:9">
      <c r="A14" t="s">
        <v>15</v>
      </c>
      <c r="B14">
        <v>275</v>
      </c>
      <c r="C14">
        <v>210</v>
      </c>
      <c r="D14" t="s">
        <v>44</v>
      </c>
      <c r="E14" t="s">
        <v>17</v>
      </c>
      <c r="F14" s="2">
        <v>47215892.200000003</v>
      </c>
      <c r="G14" s="2">
        <f>F14*2/100+F14-8462841.62</f>
        <v>39697368.424000002</v>
      </c>
      <c r="H14" s="2">
        <v>41682236.845200002</v>
      </c>
      <c r="I14" s="2">
        <f t="shared" si="1"/>
        <v>42515881.582104005</v>
      </c>
    </row>
    <row r="15" spans="1:9">
      <c r="A15" t="s">
        <v>15</v>
      </c>
      <c r="B15">
        <v>281</v>
      </c>
      <c r="C15">
        <v>210</v>
      </c>
      <c r="D15" t="s">
        <v>44</v>
      </c>
      <c r="E15" t="s">
        <v>17</v>
      </c>
      <c r="F15" s="2">
        <v>69081.149999999994</v>
      </c>
      <c r="G15" s="2">
        <f t="shared" si="0"/>
        <v>70462.773000000001</v>
      </c>
      <c r="H15" s="2">
        <v>73985.911649999995</v>
      </c>
      <c r="I15" s="2">
        <f t="shared" si="1"/>
        <v>75465.629883000001</v>
      </c>
    </row>
    <row r="16" spans="1:9">
      <c r="A16" t="s">
        <v>15</v>
      </c>
      <c r="B16">
        <v>290</v>
      </c>
      <c r="C16">
        <v>210</v>
      </c>
      <c r="D16" t="s">
        <v>44</v>
      </c>
      <c r="E16" t="s">
        <v>17</v>
      </c>
      <c r="F16" s="2">
        <v>3278090</v>
      </c>
      <c r="G16" s="2">
        <f t="shared" si="0"/>
        <v>3343651.8</v>
      </c>
      <c r="H16" s="2">
        <v>3510834.3899999997</v>
      </c>
      <c r="I16" s="2">
        <f t="shared" si="1"/>
        <v>3581051.0777999996</v>
      </c>
    </row>
    <row r="17" spans="1:12">
      <c r="A17" t="s">
        <v>15</v>
      </c>
      <c r="B17">
        <v>291</v>
      </c>
      <c r="C17">
        <v>210</v>
      </c>
      <c r="D17" t="s">
        <v>44</v>
      </c>
      <c r="E17" t="s">
        <v>17</v>
      </c>
      <c r="F17" s="2">
        <v>9558645.8499999996</v>
      </c>
      <c r="G17" s="2">
        <f t="shared" si="0"/>
        <v>9749818.7669999991</v>
      </c>
      <c r="H17" s="2">
        <v>10237309.705349999</v>
      </c>
      <c r="I17" s="2">
        <f t="shared" si="1"/>
        <v>10442055.899456998</v>
      </c>
    </row>
    <row r="18" spans="1:12">
      <c r="A18" t="s">
        <v>15</v>
      </c>
      <c r="B18">
        <v>293</v>
      </c>
      <c r="C18">
        <v>210</v>
      </c>
      <c r="D18" t="s">
        <v>44</v>
      </c>
      <c r="E18" t="s">
        <v>17</v>
      </c>
      <c r="F18" s="2">
        <v>5887206.6699999999</v>
      </c>
      <c r="G18" s="2">
        <f t="shared" si="0"/>
        <v>6004950.8033999996</v>
      </c>
      <c r="H18" s="2">
        <v>6305198.3435699996</v>
      </c>
      <c r="I18" s="2">
        <f t="shared" si="1"/>
        <v>6431302.3104413999</v>
      </c>
    </row>
    <row r="19" spans="1:12" ht="15.75" thickBot="1">
      <c r="F19" s="4">
        <f>SUM(F3:F18)</f>
        <v>70995000</v>
      </c>
      <c r="G19" s="4">
        <f>SUM(G3:G18)</f>
        <v>64000000.0022</v>
      </c>
      <c r="H19" s="4">
        <f>SUM(H3:H18)</f>
        <v>67200000.002309993</v>
      </c>
      <c r="I19" s="4">
        <f>SUM(I3:I18)</f>
        <v>68544000.002356201</v>
      </c>
    </row>
    <row r="20" spans="1:12" ht="15.75" thickTop="1"/>
    <row r="23" spans="1:12" ht="15.75" thickBot="1">
      <c r="L23"/>
    </row>
    <row r="24" spans="1:12" ht="15.75" thickBot="1">
      <c r="F24" s="215" t="s">
        <v>916</v>
      </c>
      <c r="G24" s="215" t="s">
        <v>1102</v>
      </c>
      <c r="H24" s="152" t="s">
        <v>1103</v>
      </c>
      <c r="I24" s="152" t="s">
        <v>1123</v>
      </c>
      <c r="K24"/>
      <c r="L24"/>
    </row>
    <row r="25" spans="1:12" ht="409.6">
      <c r="A25" t="s">
        <v>15</v>
      </c>
      <c r="B25">
        <v>268</v>
      </c>
      <c r="C25">
        <v>117</v>
      </c>
      <c r="D25" t="s">
        <v>338</v>
      </c>
      <c r="E25" t="s">
        <v>17</v>
      </c>
      <c r="F25" s="34">
        <v>12458690</v>
      </c>
      <c r="G25" s="27">
        <v>6087525</v>
      </c>
      <c r="H25" s="27">
        <v>6087525</v>
      </c>
      <c r="I25" s="27">
        <f>'COMMUNITY SERVICES'!J248</f>
        <v>6477550.8400000008</v>
      </c>
      <c r="J25" s="27">
        <f>K25/7*12</f>
        <v>5180064.5485714283</v>
      </c>
      <c r="K25" s="27">
        <v>3021704.32</v>
      </c>
      <c r="L25"/>
    </row>
    <row r="26" spans="1:12" ht="409.6">
      <c r="A26" t="s">
        <v>15</v>
      </c>
      <c r="B26">
        <v>274</v>
      </c>
      <c r="C26">
        <v>117</v>
      </c>
      <c r="D26" t="s">
        <v>338</v>
      </c>
      <c r="E26" t="s">
        <v>17</v>
      </c>
      <c r="F26" s="34">
        <v>14520500</v>
      </c>
      <c r="G26" s="27">
        <v>9387508</v>
      </c>
      <c r="H26" s="27">
        <v>9387508</v>
      </c>
      <c r="I26" s="27">
        <f>FINANCE!J36</f>
        <v>6636369.6500000004</v>
      </c>
      <c r="J26" s="27">
        <f>K26/7*12</f>
        <v>8290943.0228571426</v>
      </c>
      <c r="K26" s="27">
        <v>4836383.43</v>
      </c>
      <c r="L26"/>
    </row>
    <row r="27" spans="1:12" ht="409.6">
      <c r="A27" t="s">
        <v>15</v>
      </c>
      <c r="B27">
        <v>290</v>
      </c>
      <c r="C27">
        <v>117</v>
      </c>
      <c r="D27" t="s">
        <v>338</v>
      </c>
      <c r="E27" t="s">
        <v>17</v>
      </c>
      <c r="F27" s="34">
        <v>900000</v>
      </c>
      <c r="G27" s="27">
        <v>6689508</v>
      </c>
      <c r="H27" s="27">
        <v>6689508</v>
      </c>
      <c r="I27" s="27">
        <f>TECHNICAL!J82</f>
        <v>8227343.71</v>
      </c>
      <c r="J27" s="27">
        <f>K27/7*12</f>
        <v>336015.72000000003</v>
      </c>
      <c r="K27" s="27">
        <v>196009.17</v>
      </c>
      <c r="L27"/>
    </row>
    <row r="28" spans="1:12" ht="409.6">
      <c r="A28" t="s">
        <v>15</v>
      </c>
      <c r="B28">
        <v>291</v>
      </c>
      <c r="C28">
        <v>117</v>
      </c>
      <c r="D28" t="s">
        <v>338</v>
      </c>
      <c r="E28" t="s">
        <v>17</v>
      </c>
      <c r="F28" s="34">
        <v>4550000</v>
      </c>
      <c r="G28" s="27">
        <v>5961559</v>
      </c>
      <c r="H28" s="27">
        <v>5961559</v>
      </c>
      <c r="I28" s="27">
        <f>TECHNICAL!J146</f>
        <v>6429501.79</v>
      </c>
      <c r="J28" s="27">
        <f>K28/7*12</f>
        <v>4263038.9657142852</v>
      </c>
      <c r="K28" s="27">
        <v>2486772.73</v>
      </c>
      <c r="L28"/>
    </row>
    <row r="29" spans="1:12" ht="409.6">
      <c r="A29" t="s">
        <v>15</v>
      </c>
      <c r="B29">
        <v>293</v>
      </c>
      <c r="C29">
        <v>117</v>
      </c>
      <c r="D29" t="s">
        <v>338</v>
      </c>
      <c r="E29" t="s">
        <v>17</v>
      </c>
      <c r="F29" s="34">
        <v>10805000</v>
      </c>
      <c r="G29" s="27">
        <v>12190000</v>
      </c>
      <c r="H29" s="27">
        <v>12190000</v>
      </c>
      <c r="I29" s="27">
        <f>TECHNICAL!J208</f>
        <v>14035325.450000001</v>
      </c>
      <c r="J29" s="27">
        <f>K29/7*12</f>
        <v>12404388.06857143</v>
      </c>
      <c r="K29" s="27">
        <v>7235893.04</v>
      </c>
      <c r="L29"/>
    </row>
    <row r="30" spans="1:12" ht="15.75" thickBot="1">
      <c r="F30" s="28">
        <f>SUM(F25:F29)</f>
        <v>43234190</v>
      </c>
      <c r="G30" s="28">
        <f>SUM(G25:G29)</f>
        <v>40316100</v>
      </c>
      <c r="H30" s="28">
        <f>SUM(H25:H29)</f>
        <v>40316100</v>
      </c>
      <c r="I30" s="28">
        <f>SUM(I25:I29)</f>
        <v>41806091.440000005</v>
      </c>
      <c r="K30"/>
      <c r="L30"/>
    </row>
    <row r="31" spans="1:12" ht="15.75" thickTop="1">
      <c r="L31"/>
    </row>
    <row r="32" spans="1:12" ht="409.6">
      <c r="L32"/>
    </row>
    <row r="33" spans="4:12" hidden="1">
      <c r="L33"/>
    </row>
    <row r="34" spans="4:12" ht="15.75" hidden="1" thickBot="1">
      <c r="D34" t="s">
        <v>917</v>
      </c>
      <c r="F34" s="29">
        <v>43234190</v>
      </c>
      <c r="L34"/>
    </row>
    <row r="35" spans="4:12" ht="15.75" hidden="1" thickTop="1"/>
    <row r="36" spans="4:12" hidden="1">
      <c r="D36" t="s">
        <v>915</v>
      </c>
      <c r="F36" s="30">
        <f>F34-F30</f>
        <v>0</v>
      </c>
    </row>
    <row r="37" spans="4:12" hidden="1"/>
  </sheetData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Normal="100" workbookViewId="0">
      <pane ySplit="3" topLeftCell="A68" activePane="bottomLeft" state="frozen"/>
      <selection activeCell="B1" sqref="B1"/>
      <selection pane="bottomLeft" activeCell="A76" sqref="A76"/>
    </sheetView>
  </sheetViews>
  <sheetFormatPr defaultRowHeight="15"/>
  <cols>
    <col min="1" max="1" width="64.42578125" customWidth="1"/>
    <col min="2" max="2" width="16.7109375" style="1" customWidth="1"/>
    <col min="3" max="3" width="14.7109375" style="6" customWidth="1"/>
    <col min="4" max="4" width="13.42578125" style="7" bestFit="1" customWidth="1"/>
    <col min="5" max="5" width="13.42578125" style="207" bestFit="1" customWidth="1"/>
    <col min="6" max="6" width="17.5703125" style="207" bestFit="1" customWidth="1"/>
    <col min="7" max="7" width="17.85546875" style="207" customWidth="1"/>
    <col min="8" max="8" width="15.85546875" style="6" bestFit="1" customWidth="1"/>
    <col min="9" max="9" width="17.140625" style="6" customWidth="1"/>
    <col min="11" max="11" width="14.140625" bestFit="1" customWidth="1"/>
  </cols>
  <sheetData>
    <row r="1" spans="1:9" ht="15.75" thickBot="1">
      <c r="A1" s="1" t="s">
        <v>853</v>
      </c>
    </row>
    <row r="2" spans="1:9" s="323" customFormat="1" ht="30.75" customHeight="1" thickBot="1">
      <c r="A2" s="322"/>
      <c r="B2" s="382" t="s">
        <v>854</v>
      </c>
      <c r="C2" s="382" t="s">
        <v>1135</v>
      </c>
      <c r="D2" s="384" t="s">
        <v>1136</v>
      </c>
      <c r="E2" s="386" t="s">
        <v>1137</v>
      </c>
      <c r="F2" s="386" t="s">
        <v>1103</v>
      </c>
      <c r="G2" s="386" t="s">
        <v>1123</v>
      </c>
      <c r="H2" s="380" t="s">
        <v>1138</v>
      </c>
      <c r="I2" s="380" t="s">
        <v>1139</v>
      </c>
    </row>
    <row r="3" spans="1:9" ht="5.25" customHeight="1">
      <c r="A3" s="8"/>
      <c r="B3" s="383"/>
      <c r="C3" s="383"/>
      <c r="D3" s="385"/>
      <c r="E3" s="387"/>
      <c r="F3" s="387"/>
      <c r="G3" s="387"/>
      <c r="H3" s="381"/>
      <c r="I3" s="381"/>
    </row>
    <row r="4" spans="1:9">
      <c r="A4" s="10" t="s">
        <v>855</v>
      </c>
      <c r="B4" s="324"/>
      <c r="C4" s="11">
        <f>SUM(C6:C9)</f>
        <v>1500000</v>
      </c>
      <c r="D4" s="12">
        <f>SUM(D6:D8)</f>
        <v>850000</v>
      </c>
      <c r="E4" s="212">
        <f>SUM(E6:E9)</f>
        <v>1224000</v>
      </c>
      <c r="F4" s="212">
        <f>SUM(F6:F9)</f>
        <v>1304000</v>
      </c>
      <c r="G4" s="212">
        <f>SUM(G5:G9)</f>
        <v>0</v>
      </c>
      <c r="H4" s="11">
        <f>SUM(H6:H9)</f>
        <v>1460000</v>
      </c>
      <c r="I4" s="11">
        <f>SUM(I6:I9)</f>
        <v>1600000</v>
      </c>
    </row>
    <row r="5" spans="1:9">
      <c r="A5" s="20"/>
      <c r="B5" s="325"/>
      <c r="C5" s="21"/>
      <c r="D5" s="25"/>
      <c r="E5" s="209"/>
      <c r="F5" s="255"/>
      <c r="G5" s="216"/>
      <c r="H5" s="21"/>
      <c r="I5" s="21"/>
    </row>
    <row r="6" spans="1:9">
      <c r="A6" s="13" t="s">
        <v>419</v>
      </c>
      <c r="B6" s="326" t="s">
        <v>857</v>
      </c>
      <c r="C6" s="14">
        <v>1000000</v>
      </c>
      <c r="D6" s="24">
        <v>750000</v>
      </c>
      <c r="E6" s="210">
        <f>800000+250000+104000</f>
        <v>1154000</v>
      </c>
      <c r="F6" s="19">
        <v>1154000</v>
      </c>
      <c r="G6" s="218">
        <v>0</v>
      </c>
      <c r="H6" s="14">
        <v>800000</v>
      </c>
      <c r="I6" s="14">
        <v>700000</v>
      </c>
    </row>
    <row r="7" spans="1:9">
      <c r="A7" s="13" t="s">
        <v>858</v>
      </c>
      <c r="B7" s="326" t="s">
        <v>857</v>
      </c>
      <c r="C7" s="14">
        <v>500000</v>
      </c>
      <c r="D7" s="24">
        <v>85000</v>
      </c>
      <c r="E7" s="210">
        <v>70000</v>
      </c>
      <c r="F7" s="19">
        <v>150000</v>
      </c>
      <c r="G7" s="218">
        <v>0</v>
      </c>
      <c r="H7" s="14">
        <v>660000</v>
      </c>
      <c r="I7" s="14">
        <v>900000</v>
      </c>
    </row>
    <row r="8" spans="1:9">
      <c r="A8" s="13" t="s">
        <v>859</v>
      </c>
      <c r="B8" s="326" t="s">
        <v>857</v>
      </c>
      <c r="C8" s="14">
        <v>0</v>
      </c>
      <c r="D8" s="24">
        <v>15000</v>
      </c>
      <c r="E8" s="210">
        <v>0</v>
      </c>
      <c r="F8" s="19"/>
      <c r="G8" s="218">
        <v>0</v>
      </c>
      <c r="H8" s="14"/>
      <c r="I8" s="14"/>
    </row>
    <row r="9" spans="1:9">
      <c r="A9" s="13"/>
      <c r="B9" s="326"/>
      <c r="C9" s="14"/>
      <c r="D9" s="24"/>
      <c r="E9" s="210"/>
      <c r="F9" s="19"/>
      <c r="G9" s="218"/>
      <c r="H9" s="14"/>
      <c r="I9" s="14"/>
    </row>
    <row r="10" spans="1:9" s="1" customFormat="1">
      <c r="A10" s="10" t="s">
        <v>860</v>
      </c>
      <c r="B10" s="327"/>
      <c r="C10" s="15">
        <f t="shared" ref="C10:I10" si="0">SUM(C13:C19)</f>
        <v>15268102</v>
      </c>
      <c r="D10" s="15">
        <f t="shared" si="0"/>
        <v>12031211</v>
      </c>
      <c r="E10" s="213">
        <f t="shared" si="0"/>
        <v>12309264.310000001</v>
      </c>
      <c r="F10" s="213">
        <f t="shared" si="0"/>
        <v>15780459.760000002</v>
      </c>
      <c r="G10" s="213">
        <f>SUM(G11:G19)</f>
        <v>4919186.76</v>
      </c>
      <c r="H10" s="16">
        <f t="shared" si="0"/>
        <v>5043777.97</v>
      </c>
      <c r="I10" s="16">
        <f t="shared" si="0"/>
        <v>4311087</v>
      </c>
    </row>
    <row r="11" spans="1:9" s="1" customFormat="1">
      <c r="A11" s="17"/>
      <c r="B11" s="326"/>
      <c r="C11" s="18"/>
      <c r="D11" s="24"/>
      <c r="E11" s="211"/>
      <c r="F11" s="257"/>
      <c r="G11" s="219"/>
      <c r="H11" s="18"/>
      <c r="I11" s="18"/>
    </row>
    <row r="12" spans="1:9" s="1" customFormat="1">
      <c r="A12" s="13" t="s">
        <v>468</v>
      </c>
      <c r="B12" s="326" t="s">
        <v>857</v>
      </c>
      <c r="C12" s="18"/>
      <c r="D12" s="24"/>
      <c r="E12" s="211"/>
      <c r="F12" s="257"/>
      <c r="G12" s="219">
        <v>0</v>
      </c>
      <c r="H12" s="18"/>
      <c r="I12" s="18"/>
    </row>
    <row r="13" spans="1:9">
      <c r="A13" s="13" t="s">
        <v>468</v>
      </c>
      <c r="B13" s="326" t="s">
        <v>856</v>
      </c>
      <c r="C13" s="14">
        <v>1614850</v>
      </c>
      <c r="D13" s="24">
        <v>1328600</v>
      </c>
      <c r="E13" s="210">
        <v>1231650</v>
      </c>
      <c r="F13" s="19">
        <v>1231650</v>
      </c>
      <c r="G13" s="218">
        <v>1210900</v>
      </c>
      <c r="H13" s="14">
        <v>1289700</v>
      </c>
      <c r="I13" s="14">
        <v>1351897</v>
      </c>
    </row>
    <row r="14" spans="1:9">
      <c r="A14" s="13" t="s">
        <v>861</v>
      </c>
      <c r="B14" s="326" t="s">
        <v>856</v>
      </c>
      <c r="C14" s="14">
        <v>1923996</v>
      </c>
      <c r="D14" s="24">
        <v>580676</v>
      </c>
      <c r="E14" s="210">
        <v>0</v>
      </c>
      <c r="F14" s="19">
        <v>4026169.73</v>
      </c>
      <c r="G14" s="218">
        <v>964112.96931499999</v>
      </c>
      <c r="H14" s="19">
        <v>1651017.84</v>
      </c>
      <c r="I14" s="19">
        <v>1789456</v>
      </c>
    </row>
    <row r="15" spans="1:9">
      <c r="A15" s="13" t="s">
        <v>862</v>
      </c>
      <c r="B15" s="326" t="s">
        <v>856</v>
      </c>
      <c r="C15" s="14">
        <v>11729256</v>
      </c>
      <c r="D15" s="24">
        <v>840241</v>
      </c>
      <c r="E15" s="210">
        <v>0</v>
      </c>
      <c r="F15" s="19">
        <v>81510.13</v>
      </c>
      <c r="G15" s="218"/>
      <c r="H15" s="19">
        <v>597715.94999999995</v>
      </c>
      <c r="I15" s="19">
        <v>600789</v>
      </c>
    </row>
    <row r="16" spans="1:9">
      <c r="A16" s="13" t="s">
        <v>863</v>
      </c>
      <c r="B16" s="326" t="s">
        <v>856</v>
      </c>
      <c r="C16" s="14">
        <v>0</v>
      </c>
      <c r="D16" s="24">
        <v>9281694</v>
      </c>
      <c r="E16" s="210">
        <v>11077614.310000001</v>
      </c>
      <c r="F16" s="19">
        <v>10441129.9</v>
      </c>
      <c r="G16" s="218">
        <v>1273020.2776010002</v>
      </c>
      <c r="H16" s="19">
        <v>1086344.18</v>
      </c>
      <c r="I16" s="19">
        <v>568945</v>
      </c>
    </row>
    <row r="17" spans="1:11">
      <c r="A17" s="13" t="s">
        <v>864</v>
      </c>
      <c r="B17" s="326" t="s">
        <v>856</v>
      </c>
      <c r="C17" s="14"/>
      <c r="D17" s="24"/>
      <c r="E17" s="210"/>
      <c r="F17" s="19"/>
      <c r="G17" s="218"/>
      <c r="H17" s="14"/>
      <c r="I17" s="14"/>
    </row>
    <row r="18" spans="1:11" ht="16.5">
      <c r="A18" s="311" t="s">
        <v>1130</v>
      </c>
      <c r="B18" s="326" t="s">
        <v>856</v>
      </c>
      <c r="C18" s="14"/>
      <c r="D18" s="24"/>
      <c r="E18" s="210"/>
      <c r="F18" s="19"/>
      <c r="G18" s="218">
        <v>1471153.5130840004</v>
      </c>
      <c r="H18" s="14">
        <v>419000</v>
      </c>
      <c r="I18" s="14"/>
    </row>
    <row r="19" spans="1:11">
      <c r="A19" s="13"/>
      <c r="B19" s="326"/>
      <c r="C19" s="14"/>
      <c r="D19" s="24"/>
      <c r="E19" s="210"/>
      <c r="F19" s="19"/>
      <c r="G19" s="218"/>
      <c r="H19" s="14"/>
      <c r="I19" s="14"/>
    </row>
    <row r="20" spans="1:11" s="1" customFormat="1">
      <c r="A20" s="10" t="s">
        <v>865</v>
      </c>
      <c r="B20" s="327"/>
      <c r="C20" s="15">
        <f t="shared" ref="C20:I20" si="1">SUM(C22:C28)</f>
        <v>1949350</v>
      </c>
      <c r="D20" s="15">
        <f t="shared" si="1"/>
        <v>3693941</v>
      </c>
      <c r="E20" s="213">
        <f t="shared" si="1"/>
        <v>15567151.569999998</v>
      </c>
      <c r="F20" s="213">
        <f t="shared" si="1"/>
        <v>10983371.289999999</v>
      </c>
      <c r="G20" s="213">
        <f>SUM(G21:G28)</f>
        <v>279103.03000000003</v>
      </c>
      <c r="H20" s="16">
        <f t="shared" si="1"/>
        <v>13250000</v>
      </c>
      <c r="I20" s="16">
        <f t="shared" si="1"/>
        <v>9049312</v>
      </c>
    </row>
    <row r="21" spans="1:11">
      <c r="A21" s="13"/>
      <c r="B21" s="326"/>
      <c r="C21" s="14"/>
      <c r="D21" s="24"/>
      <c r="E21" s="210"/>
      <c r="F21" s="19"/>
      <c r="G21" s="218"/>
      <c r="H21" s="14"/>
      <c r="I21" s="14"/>
    </row>
    <row r="22" spans="1:11">
      <c r="A22" s="13" t="s">
        <v>866</v>
      </c>
      <c r="B22" s="326" t="s">
        <v>856</v>
      </c>
      <c r="C22" s="14"/>
      <c r="D22" s="24">
        <v>0</v>
      </c>
      <c r="E22" s="210"/>
      <c r="F22" s="19"/>
      <c r="G22" s="218"/>
      <c r="H22" s="14"/>
      <c r="I22" s="14"/>
    </row>
    <row r="23" spans="1:11">
      <c r="A23" s="13" t="s">
        <v>867</v>
      </c>
      <c r="B23" s="326" t="s">
        <v>659</v>
      </c>
      <c r="C23" s="14">
        <v>1500000</v>
      </c>
      <c r="D23" s="24"/>
      <c r="E23" s="210">
        <v>10510442.539999999</v>
      </c>
      <c r="F23" s="19">
        <f>809632.59+2881544.14+1291914.8</f>
        <v>4983091.53</v>
      </c>
      <c r="G23" s="218">
        <v>279103.03000000003</v>
      </c>
      <c r="H23" s="14">
        <v>0</v>
      </c>
      <c r="I23" s="14">
        <v>2589456</v>
      </c>
    </row>
    <row r="24" spans="1:11">
      <c r="A24" s="13" t="s">
        <v>868</v>
      </c>
      <c r="B24" s="326" t="s">
        <v>856</v>
      </c>
      <c r="C24" s="14"/>
      <c r="D24" s="24"/>
      <c r="E24" s="210">
        <v>0</v>
      </c>
      <c r="F24" s="19"/>
      <c r="G24" s="218"/>
      <c r="H24" s="19">
        <v>13250000</v>
      </c>
      <c r="I24" s="19">
        <v>1459856</v>
      </c>
    </row>
    <row r="25" spans="1:11">
      <c r="A25" s="13" t="s">
        <v>869</v>
      </c>
      <c r="B25" s="326" t="s">
        <v>856</v>
      </c>
      <c r="C25" s="14">
        <v>449350</v>
      </c>
      <c r="D25" s="24">
        <v>3693941</v>
      </c>
      <c r="E25" s="210">
        <v>156709.03</v>
      </c>
      <c r="F25" s="19">
        <v>1100279.76</v>
      </c>
      <c r="G25" s="218"/>
      <c r="H25" s="19"/>
      <c r="I25" s="19">
        <v>5000000</v>
      </c>
    </row>
    <row r="26" spans="1:11">
      <c r="A26" s="13" t="s">
        <v>870</v>
      </c>
      <c r="B26" s="326"/>
      <c r="C26" s="14"/>
      <c r="D26" s="24"/>
      <c r="E26" s="210"/>
      <c r="F26" s="19"/>
      <c r="G26" s="218"/>
      <c r="H26" s="19"/>
      <c r="I26" s="19"/>
    </row>
    <row r="27" spans="1:11">
      <c r="A27" t="s">
        <v>983</v>
      </c>
      <c r="B27" s="328" t="s">
        <v>1026</v>
      </c>
      <c r="C27" s="14"/>
      <c r="D27" s="24"/>
      <c r="E27" s="210">
        <v>4900000</v>
      </c>
      <c r="F27" s="19">
        <v>4900000</v>
      </c>
      <c r="G27" s="218"/>
      <c r="H27" s="14">
        <v>0</v>
      </c>
      <c r="I27" s="14">
        <v>0</v>
      </c>
    </row>
    <row r="28" spans="1:11">
      <c r="A28" s="13"/>
      <c r="B28" s="326"/>
      <c r="C28" s="14"/>
      <c r="D28" s="24"/>
      <c r="E28" s="210"/>
      <c r="F28" s="19"/>
      <c r="G28" s="218"/>
      <c r="H28" s="14"/>
      <c r="I28" s="14"/>
    </row>
    <row r="29" spans="1:11" s="1" customFormat="1">
      <c r="A29" s="10" t="s">
        <v>663</v>
      </c>
      <c r="B29" s="327"/>
      <c r="C29" s="15">
        <f t="shared" ref="C29:I29" si="2">SUM(C30:C46)</f>
        <v>21810649</v>
      </c>
      <c r="D29" s="15">
        <f t="shared" si="2"/>
        <v>24613554</v>
      </c>
      <c r="E29" s="213">
        <f t="shared" si="2"/>
        <v>19489557.460000001</v>
      </c>
      <c r="F29" s="213">
        <f t="shared" si="2"/>
        <v>25558199</v>
      </c>
      <c r="G29" s="213">
        <f>SUM(G30:G46)</f>
        <v>42095684.189499989</v>
      </c>
      <c r="H29" s="16">
        <f t="shared" si="2"/>
        <v>3730000</v>
      </c>
      <c r="I29" s="16">
        <f t="shared" si="2"/>
        <v>56518554</v>
      </c>
      <c r="K29" s="44">
        <v>42095684.189999998</v>
      </c>
    </row>
    <row r="30" spans="1:11">
      <c r="A30" s="13" t="s">
        <v>871</v>
      </c>
      <c r="B30" s="326" t="s">
        <v>857</v>
      </c>
      <c r="C30" s="14">
        <v>0</v>
      </c>
      <c r="D30" s="24"/>
      <c r="E30" s="210">
        <v>0</v>
      </c>
      <c r="F30" s="19"/>
      <c r="G30" s="218"/>
      <c r="H30" s="14">
        <v>1230000</v>
      </c>
      <c r="I30" s="14">
        <v>1500000</v>
      </c>
    </row>
    <row r="31" spans="1:11">
      <c r="A31" s="13" t="s">
        <v>872</v>
      </c>
      <c r="B31" s="326" t="s">
        <v>659</v>
      </c>
      <c r="C31" s="14">
        <v>8000000</v>
      </c>
      <c r="D31" s="24">
        <v>3272778.81</v>
      </c>
      <c r="E31" s="210">
        <v>0</v>
      </c>
      <c r="F31" s="19"/>
      <c r="G31" s="218">
        <v>21983840.309499998</v>
      </c>
      <c r="H31" s="19"/>
      <c r="I31" s="19">
        <v>10000000</v>
      </c>
    </row>
    <row r="32" spans="1:11">
      <c r="A32" s="13" t="s">
        <v>873</v>
      </c>
      <c r="B32" s="326" t="s">
        <v>659</v>
      </c>
      <c r="C32" s="14">
        <v>4000000</v>
      </c>
      <c r="D32" s="24">
        <v>12145883.59</v>
      </c>
      <c r="E32" s="210">
        <v>16627392.460000001</v>
      </c>
      <c r="F32" s="19">
        <v>15477005.01</v>
      </c>
      <c r="G32" s="218">
        <v>14003583.75</v>
      </c>
      <c r="H32" s="19">
        <v>0</v>
      </c>
      <c r="I32" s="19">
        <v>19865444</v>
      </c>
    </row>
    <row r="33" spans="1:9">
      <c r="A33" s="13" t="s">
        <v>874</v>
      </c>
      <c r="B33" s="326" t="s">
        <v>659</v>
      </c>
      <c r="C33" s="14">
        <v>0</v>
      </c>
      <c r="D33" s="24"/>
      <c r="E33" s="210">
        <v>0</v>
      </c>
      <c r="F33" s="19"/>
      <c r="G33" s="218"/>
      <c r="H33" s="19">
        <v>0</v>
      </c>
      <c r="I33" s="19">
        <v>17000000</v>
      </c>
    </row>
    <row r="34" spans="1:9">
      <c r="A34" s="13" t="s">
        <v>875</v>
      </c>
      <c r="B34" s="326" t="s">
        <v>856</v>
      </c>
      <c r="C34" s="14">
        <v>500000</v>
      </c>
      <c r="D34" s="24"/>
      <c r="E34" s="210">
        <v>0</v>
      </c>
      <c r="F34" s="19"/>
      <c r="G34" s="218"/>
      <c r="H34" s="19">
        <v>0</v>
      </c>
      <c r="I34" s="19">
        <v>0</v>
      </c>
    </row>
    <row r="35" spans="1:9">
      <c r="A35" s="13" t="s">
        <v>876</v>
      </c>
      <c r="B35" s="326" t="s">
        <v>659</v>
      </c>
      <c r="C35" s="14">
        <v>7810649</v>
      </c>
      <c r="D35" s="24">
        <v>1581337.6000000001</v>
      </c>
      <c r="E35" s="210">
        <v>0</v>
      </c>
      <c r="F35" s="19"/>
      <c r="G35" s="218"/>
      <c r="H35" s="19">
        <v>0</v>
      </c>
      <c r="I35" s="19"/>
    </row>
    <row r="36" spans="1:9">
      <c r="A36" s="13" t="s">
        <v>876</v>
      </c>
      <c r="B36" s="326" t="s">
        <v>856</v>
      </c>
      <c r="C36" s="14">
        <v>0</v>
      </c>
      <c r="D36" s="24">
        <v>2817364</v>
      </c>
      <c r="E36" s="210">
        <v>0</v>
      </c>
      <c r="F36" s="19">
        <v>441744.2</v>
      </c>
      <c r="G36" s="218"/>
      <c r="H36" s="19">
        <v>1500000</v>
      </c>
      <c r="I36" s="19">
        <v>2564111</v>
      </c>
    </row>
    <row r="37" spans="1:9">
      <c r="A37" s="13" t="s">
        <v>877</v>
      </c>
      <c r="B37" s="326" t="s">
        <v>857</v>
      </c>
      <c r="C37" s="14">
        <v>1500000</v>
      </c>
      <c r="D37" s="24">
        <v>1000000</v>
      </c>
      <c r="E37" s="210">
        <v>0</v>
      </c>
      <c r="F37" s="19"/>
      <c r="G37" s="218"/>
      <c r="H37" s="19">
        <v>1000000</v>
      </c>
      <c r="I37" s="19">
        <v>2000000</v>
      </c>
    </row>
    <row r="38" spans="1:9">
      <c r="A38" s="13" t="s">
        <v>878</v>
      </c>
      <c r="B38" s="326" t="s">
        <v>856</v>
      </c>
      <c r="C38" s="14">
        <v>0</v>
      </c>
      <c r="D38" s="24">
        <v>796190</v>
      </c>
      <c r="E38" s="210"/>
      <c r="F38" s="19">
        <v>99546.33</v>
      </c>
      <c r="G38" s="218"/>
      <c r="H38" s="14"/>
      <c r="I38" s="14"/>
    </row>
    <row r="39" spans="1:9">
      <c r="A39" s="13" t="s">
        <v>879</v>
      </c>
      <c r="B39" s="326" t="s">
        <v>856</v>
      </c>
      <c r="C39" s="14">
        <v>0</v>
      </c>
      <c r="D39" s="24">
        <v>0</v>
      </c>
      <c r="E39" s="210"/>
      <c r="F39" s="19"/>
      <c r="G39" s="218"/>
      <c r="H39" s="14"/>
      <c r="I39" s="14"/>
    </row>
    <row r="40" spans="1:9">
      <c r="A40" s="13" t="s">
        <v>880</v>
      </c>
      <c r="B40" s="326" t="s">
        <v>856</v>
      </c>
      <c r="C40" s="14">
        <v>0</v>
      </c>
      <c r="D40" s="24">
        <v>0</v>
      </c>
      <c r="E40" s="210"/>
      <c r="F40" s="19"/>
      <c r="G40" s="218"/>
      <c r="H40" s="14"/>
      <c r="I40" s="14"/>
    </row>
    <row r="41" spans="1:9">
      <c r="A41" s="13" t="s">
        <v>881</v>
      </c>
      <c r="B41" s="326"/>
      <c r="C41" s="14">
        <v>0</v>
      </c>
      <c r="D41" s="24"/>
      <c r="E41" s="210"/>
      <c r="F41" s="19"/>
      <c r="G41" s="218"/>
      <c r="H41" s="14"/>
      <c r="I41" s="14"/>
    </row>
    <row r="42" spans="1:9">
      <c r="A42" s="13" t="s">
        <v>882</v>
      </c>
      <c r="B42" s="326" t="s">
        <v>857</v>
      </c>
      <c r="C42" s="14"/>
      <c r="D42" s="24"/>
      <c r="E42" s="210">
        <v>0</v>
      </c>
      <c r="F42" s="19"/>
      <c r="G42" s="218"/>
      <c r="H42" s="14"/>
      <c r="I42" s="14"/>
    </row>
    <row r="43" spans="1:9">
      <c r="A43" s="79" t="s">
        <v>883</v>
      </c>
      <c r="B43" s="326" t="s">
        <v>659</v>
      </c>
      <c r="C43" s="14">
        <v>0</v>
      </c>
      <c r="D43" s="24">
        <v>3000000</v>
      </c>
      <c r="E43" s="210">
        <v>2862165</v>
      </c>
      <c r="F43" s="19">
        <v>9539903.4600000009</v>
      </c>
      <c r="G43" s="218"/>
      <c r="H43" s="19">
        <v>0</v>
      </c>
      <c r="I43" s="19">
        <v>3588999</v>
      </c>
    </row>
    <row r="44" spans="1:9">
      <c r="A44" s="13" t="s">
        <v>884</v>
      </c>
      <c r="B44" s="326" t="s">
        <v>857</v>
      </c>
      <c r="C44" s="14">
        <v>0</v>
      </c>
      <c r="D44" s="24"/>
      <c r="E44" s="210"/>
      <c r="F44" s="19"/>
      <c r="G44" s="218"/>
      <c r="H44" s="14"/>
      <c r="I44" s="14"/>
    </row>
    <row r="45" spans="1:9">
      <c r="A45" s="13" t="s">
        <v>1126</v>
      </c>
      <c r="B45" s="326" t="s">
        <v>659</v>
      </c>
      <c r="C45" s="14"/>
      <c r="D45" s="24"/>
      <c r="E45" s="210"/>
      <c r="F45" s="19"/>
      <c r="G45" s="218">
        <v>3733472.91</v>
      </c>
      <c r="H45" s="14"/>
      <c r="I45" s="14"/>
    </row>
    <row r="46" spans="1:9">
      <c r="A46" s="13" t="s">
        <v>1129</v>
      </c>
      <c r="B46" s="326" t="s">
        <v>856</v>
      </c>
      <c r="C46" s="14"/>
      <c r="D46" s="24"/>
      <c r="E46" s="210"/>
      <c r="F46" s="19"/>
      <c r="G46" s="315">
        <v>2374787.2200000002</v>
      </c>
      <c r="H46" s="14"/>
      <c r="I46" s="14"/>
    </row>
    <row r="47" spans="1:9" s="1" customFormat="1">
      <c r="A47" s="10" t="s">
        <v>577</v>
      </c>
      <c r="B47" s="327"/>
      <c r="C47" s="15">
        <f>SUM(C49:C60)</f>
        <v>5096000</v>
      </c>
      <c r="D47" s="15">
        <f>SUM(D49:D60)</f>
        <v>5650000</v>
      </c>
      <c r="E47" s="213">
        <f>SUM(E48:E60)</f>
        <v>3240000</v>
      </c>
      <c r="F47" s="213">
        <f>SUM(F48:F60)</f>
        <v>3240000</v>
      </c>
      <c r="G47" s="213">
        <f>SUM(G48:G60)</f>
        <v>0</v>
      </c>
      <c r="H47" s="16">
        <f>SUM(H49:H60)</f>
        <v>0</v>
      </c>
      <c r="I47" s="16">
        <f>SUM(I49:I60)</f>
        <v>0</v>
      </c>
    </row>
    <row r="48" spans="1:9">
      <c r="A48" s="13"/>
      <c r="B48" s="326"/>
      <c r="C48" s="14"/>
      <c r="D48" s="24"/>
      <c r="E48" s="210"/>
      <c r="F48" s="19"/>
      <c r="G48" s="218"/>
      <c r="H48" s="14"/>
      <c r="I48" s="14"/>
    </row>
    <row r="49" spans="1:9">
      <c r="A49" s="13" t="s">
        <v>886</v>
      </c>
      <c r="B49" s="326" t="s">
        <v>820</v>
      </c>
      <c r="C49" s="14">
        <v>5000000</v>
      </c>
      <c r="D49" s="220">
        <v>5300000</v>
      </c>
      <c r="E49" s="210">
        <v>3240000</v>
      </c>
      <c r="F49" s="19">
        <v>551000</v>
      </c>
      <c r="G49" s="218"/>
      <c r="H49" s="14">
        <v>0</v>
      </c>
      <c r="I49" s="14">
        <v>0</v>
      </c>
    </row>
    <row r="50" spans="1:9">
      <c r="A50" s="13" t="s">
        <v>1113</v>
      </c>
      <c r="B50" s="326" t="s">
        <v>820</v>
      </c>
      <c r="C50" s="14"/>
      <c r="D50" s="220"/>
      <c r="E50" s="210"/>
      <c r="F50" s="19">
        <v>2689000</v>
      </c>
      <c r="G50" s="218">
        <v>0</v>
      </c>
      <c r="H50" s="14"/>
      <c r="I50" s="14"/>
    </row>
    <row r="51" spans="1:9">
      <c r="A51" s="13" t="s">
        <v>887</v>
      </c>
      <c r="B51" s="326" t="s">
        <v>857</v>
      </c>
      <c r="C51" s="14">
        <v>0</v>
      </c>
      <c r="D51" s="24">
        <v>0</v>
      </c>
      <c r="E51" s="210"/>
      <c r="F51" s="19"/>
      <c r="G51" s="218"/>
      <c r="H51" s="14"/>
      <c r="I51" s="14"/>
    </row>
    <row r="52" spans="1:9">
      <c r="A52" s="13" t="s">
        <v>559</v>
      </c>
      <c r="B52" s="326" t="s">
        <v>857</v>
      </c>
      <c r="C52" s="14">
        <v>96000</v>
      </c>
      <c r="D52" s="24">
        <v>350000</v>
      </c>
      <c r="E52" s="210"/>
      <c r="F52" s="19"/>
      <c r="G52" s="218"/>
      <c r="H52" s="14"/>
      <c r="I52" s="14"/>
    </row>
    <row r="53" spans="1:9">
      <c r="A53" s="13" t="s">
        <v>888</v>
      </c>
      <c r="B53" s="326" t="s">
        <v>857</v>
      </c>
      <c r="C53" s="14">
        <v>0</v>
      </c>
      <c r="D53" s="24"/>
      <c r="E53" s="210">
        <v>0</v>
      </c>
      <c r="F53" s="19"/>
      <c r="G53" s="218"/>
      <c r="H53" s="14">
        <v>0</v>
      </c>
      <c r="I53" s="14">
        <v>0</v>
      </c>
    </row>
    <row r="54" spans="1:9">
      <c r="A54" s="13" t="s">
        <v>889</v>
      </c>
      <c r="B54" s="326" t="s">
        <v>857</v>
      </c>
      <c r="C54" s="14">
        <v>0</v>
      </c>
      <c r="D54" s="24"/>
      <c r="E54" s="210">
        <v>0</v>
      </c>
      <c r="F54" s="19"/>
      <c r="G54" s="218"/>
      <c r="H54" s="14">
        <v>0</v>
      </c>
      <c r="I54" s="14">
        <v>0</v>
      </c>
    </row>
    <row r="55" spans="1:9">
      <c r="A55" s="13" t="s">
        <v>890</v>
      </c>
      <c r="B55" s="326" t="s">
        <v>857</v>
      </c>
      <c r="C55" s="14">
        <v>0</v>
      </c>
      <c r="D55" s="24"/>
      <c r="E55" s="210">
        <v>0</v>
      </c>
      <c r="F55" s="19"/>
      <c r="G55" s="218"/>
      <c r="H55" s="14">
        <v>0</v>
      </c>
      <c r="I55" s="14">
        <v>0</v>
      </c>
    </row>
    <row r="56" spans="1:9">
      <c r="A56" s="13" t="s">
        <v>891</v>
      </c>
      <c r="B56" s="326" t="s">
        <v>857</v>
      </c>
      <c r="C56" s="14">
        <v>0</v>
      </c>
      <c r="D56" s="24"/>
      <c r="E56" s="210">
        <v>0</v>
      </c>
      <c r="F56" s="19"/>
      <c r="G56" s="218"/>
      <c r="H56" s="14">
        <v>0</v>
      </c>
      <c r="I56" s="14">
        <v>0</v>
      </c>
    </row>
    <row r="57" spans="1:9">
      <c r="A57" s="13"/>
      <c r="B57" s="326"/>
      <c r="C57" s="14"/>
      <c r="D57" s="24"/>
      <c r="E57" s="210"/>
      <c r="F57" s="19"/>
      <c r="G57" s="218"/>
      <c r="H57" s="14"/>
      <c r="I57" s="14"/>
    </row>
    <row r="58" spans="1:9">
      <c r="A58" s="13"/>
      <c r="B58" s="326"/>
      <c r="C58" s="14"/>
      <c r="D58" s="24"/>
      <c r="E58" s="210"/>
      <c r="F58" s="19"/>
      <c r="G58" s="218"/>
      <c r="H58" s="14"/>
      <c r="I58" s="14"/>
    </row>
    <row r="59" spans="1:9">
      <c r="A59" s="13"/>
      <c r="B59" s="326"/>
      <c r="C59" s="14"/>
      <c r="D59" s="24"/>
      <c r="E59" s="210"/>
      <c r="F59" s="19"/>
      <c r="G59" s="218"/>
      <c r="H59" s="14"/>
      <c r="I59" s="14"/>
    </row>
    <row r="60" spans="1:9">
      <c r="A60" s="13"/>
      <c r="B60" s="326"/>
      <c r="C60" s="14"/>
      <c r="D60" s="24"/>
      <c r="E60" s="210"/>
      <c r="F60" s="19"/>
      <c r="G60" s="218"/>
      <c r="H60" s="14"/>
      <c r="I60" s="14"/>
    </row>
    <row r="61" spans="1:9" s="1" customFormat="1">
      <c r="A61" s="10" t="s">
        <v>892</v>
      </c>
      <c r="B61" s="327"/>
      <c r="C61" s="15">
        <f>SUM(C63:C71)</f>
        <v>4134836</v>
      </c>
      <c r="D61" s="15">
        <f>SUM(D63:D71)</f>
        <v>1688667.1</v>
      </c>
      <c r="E61" s="213">
        <f>SUM(E62:E71)</f>
        <v>2773112.6100000003</v>
      </c>
      <c r="F61" s="213">
        <f>SUM(F62:F71)</f>
        <v>2773112.6100000003</v>
      </c>
      <c r="G61" s="213">
        <f>SUM(G62:G71)</f>
        <v>1414994.59</v>
      </c>
      <c r="H61" s="16">
        <f>SUM(H63:H71)</f>
        <v>1800000</v>
      </c>
      <c r="I61" s="16">
        <f>SUM(I63:I71)</f>
        <v>6539102</v>
      </c>
    </row>
    <row r="62" spans="1:9">
      <c r="A62" s="13"/>
      <c r="B62" s="326"/>
      <c r="C62" s="14"/>
      <c r="D62" s="24"/>
      <c r="E62" s="210"/>
      <c r="F62" s="19"/>
      <c r="G62" s="218"/>
      <c r="H62" s="14"/>
      <c r="I62" s="14"/>
    </row>
    <row r="63" spans="1:9">
      <c r="A63" s="13" t="s">
        <v>893</v>
      </c>
      <c r="B63" s="326" t="s">
        <v>856</v>
      </c>
      <c r="C63" s="14">
        <v>2039086</v>
      </c>
      <c r="D63" s="24">
        <v>262787</v>
      </c>
      <c r="E63" s="210">
        <v>73112.61</v>
      </c>
      <c r="F63" s="19">
        <v>73112.61</v>
      </c>
      <c r="G63" s="218"/>
      <c r="H63" s="19">
        <v>0</v>
      </c>
      <c r="I63" s="19">
        <v>1230000</v>
      </c>
    </row>
    <row r="64" spans="1:9">
      <c r="A64" s="13" t="s">
        <v>894</v>
      </c>
      <c r="B64" s="326" t="s">
        <v>856</v>
      </c>
      <c r="C64" s="14">
        <v>1595750</v>
      </c>
      <c r="D64" s="24">
        <v>948969</v>
      </c>
      <c r="E64" s="210"/>
      <c r="F64" s="19"/>
      <c r="G64" s="218"/>
      <c r="H64" s="19">
        <v>0</v>
      </c>
      <c r="I64" s="19">
        <v>342890</v>
      </c>
    </row>
    <row r="65" spans="1:9">
      <c r="A65" s="13" t="s">
        <v>1131</v>
      </c>
      <c r="B65" s="326" t="s">
        <v>856</v>
      </c>
      <c r="C65" s="14"/>
      <c r="D65" s="24"/>
      <c r="E65" s="210"/>
      <c r="F65" s="19"/>
      <c r="G65" s="218">
        <v>1414994.59</v>
      </c>
      <c r="H65" s="19"/>
      <c r="I65" s="19">
        <v>444000</v>
      </c>
    </row>
    <row r="66" spans="1:9">
      <c r="A66" s="13" t="s">
        <v>895</v>
      </c>
      <c r="B66" s="326" t="s">
        <v>857</v>
      </c>
      <c r="C66" s="14">
        <v>0</v>
      </c>
      <c r="D66" s="24"/>
      <c r="E66" s="210">
        <v>1200000</v>
      </c>
      <c r="F66" s="19">
        <v>1200000</v>
      </c>
      <c r="G66" s="218">
        <v>0</v>
      </c>
      <c r="H66" s="19"/>
      <c r="I66" s="19"/>
    </row>
    <row r="67" spans="1:9">
      <c r="A67" s="13" t="s">
        <v>933</v>
      </c>
      <c r="B67" s="326" t="s">
        <v>857</v>
      </c>
      <c r="C67" s="14"/>
      <c r="D67" s="24"/>
      <c r="E67" s="210">
        <v>0</v>
      </c>
      <c r="F67" s="19"/>
      <c r="G67" s="218"/>
      <c r="H67" s="19"/>
      <c r="I67" s="19"/>
    </row>
    <row r="68" spans="1:9">
      <c r="A68" s="13" t="s">
        <v>885</v>
      </c>
      <c r="B68" s="326" t="s">
        <v>857</v>
      </c>
      <c r="C68" s="14">
        <v>0</v>
      </c>
      <c r="D68" s="24"/>
      <c r="E68" s="210"/>
      <c r="F68" s="19"/>
      <c r="G68" s="218"/>
      <c r="H68" s="19"/>
      <c r="I68" s="19"/>
    </row>
    <row r="69" spans="1:9">
      <c r="A69" s="13" t="s">
        <v>896</v>
      </c>
      <c r="B69" s="326" t="s">
        <v>659</v>
      </c>
      <c r="C69" s="14"/>
      <c r="D69" s="24"/>
      <c r="E69" s="210">
        <v>0</v>
      </c>
      <c r="F69" s="19"/>
      <c r="G69" s="218"/>
      <c r="H69" s="19">
        <v>0</v>
      </c>
      <c r="I69" s="19">
        <f>1455222+500879</f>
        <v>1956101</v>
      </c>
    </row>
    <row r="70" spans="1:9">
      <c r="A70" s="13" t="s">
        <v>897</v>
      </c>
      <c r="B70" s="326" t="s">
        <v>857</v>
      </c>
      <c r="C70" s="14">
        <v>500000</v>
      </c>
      <c r="D70" s="24">
        <v>476911.1</v>
      </c>
      <c r="E70" s="210">
        <v>1500000</v>
      </c>
      <c r="F70" s="19">
        <v>1500000</v>
      </c>
      <c r="G70" s="218">
        <v>0</v>
      </c>
      <c r="H70" s="19">
        <v>1800000</v>
      </c>
      <c r="I70" s="19">
        <v>2566111</v>
      </c>
    </row>
    <row r="71" spans="1:9">
      <c r="A71" s="13"/>
      <c r="B71" s="326"/>
      <c r="C71" s="14"/>
      <c r="D71" s="24"/>
      <c r="E71" s="210"/>
      <c r="F71" s="19"/>
      <c r="G71" s="218"/>
      <c r="H71" s="19"/>
      <c r="I71" s="19"/>
    </row>
    <row r="72" spans="1:9">
      <c r="A72" s="10" t="s">
        <v>149</v>
      </c>
      <c r="B72" s="327"/>
      <c r="C72" s="15">
        <f>SUM(C74:C78)</f>
        <v>5134063</v>
      </c>
      <c r="D72" s="15">
        <f>SUM(D74:D78)</f>
        <v>6021538</v>
      </c>
      <c r="E72" s="213">
        <f>SUM(E74:E78)</f>
        <v>6902626.8399999999</v>
      </c>
      <c r="F72" s="213">
        <f>SUM(F74:F78)</f>
        <v>4120103.11</v>
      </c>
      <c r="G72" s="213">
        <f>SUM(G73:G78)</f>
        <v>4098843.75</v>
      </c>
      <c r="H72" s="16">
        <f>SUM(H74:H78)</f>
        <v>4780644.03</v>
      </c>
      <c r="I72" s="16">
        <f>SUM(I74:I78)</f>
        <v>5000000</v>
      </c>
    </row>
    <row r="73" spans="1:9">
      <c r="A73" s="13"/>
      <c r="B73" s="326"/>
      <c r="C73" s="14"/>
      <c r="D73" s="24"/>
      <c r="E73" s="210"/>
      <c r="F73" s="19"/>
      <c r="G73" s="218"/>
      <c r="H73" s="14"/>
      <c r="I73" s="14"/>
    </row>
    <row r="74" spans="1:9">
      <c r="A74" s="13" t="s">
        <v>898</v>
      </c>
      <c r="B74" s="326" t="s">
        <v>856</v>
      </c>
      <c r="C74" s="14">
        <v>5134063</v>
      </c>
      <c r="D74" s="24">
        <v>6021538</v>
      </c>
      <c r="E74" s="210">
        <v>1843841.67</v>
      </c>
      <c r="F74" s="19">
        <v>1803353.21</v>
      </c>
      <c r="G74" s="336"/>
      <c r="H74" s="14">
        <v>0</v>
      </c>
      <c r="I74" s="14">
        <v>0</v>
      </c>
    </row>
    <row r="75" spans="1:9">
      <c r="A75" s="13" t="s">
        <v>899</v>
      </c>
      <c r="B75" s="326" t="s">
        <v>856</v>
      </c>
      <c r="C75" s="14">
        <v>0</v>
      </c>
      <c r="D75" s="24"/>
      <c r="E75" s="210">
        <v>0</v>
      </c>
      <c r="F75" s="19"/>
      <c r="G75" s="218"/>
      <c r="H75" s="14"/>
      <c r="I75" s="14"/>
    </row>
    <row r="76" spans="1:9">
      <c r="A76" s="13" t="s">
        <v>1155</v>
      </c>
      <c r="B76" s="326" t="s">
        <v>856</v>
      </c>
      <c r="C76" s="14"/>
      <c r="D76" s="24"/>
      <c r="E76" s="210">
        <v>5058785.17</v>
      </c>
      <c r="F76" s="19">
        <v>2316749.9</v>
      </c>
      <c r="G76" s="218">
        <v>4098843.75</v>
      </c>
      <c r="H76" s="14">
        <v>4780644.03</v>
      </c>
      <c r="I76" s="14">
        <v>5000000</v>
      </c>
    </row>
    <row r="77" spans="1:9">
      <c r="A77" s="13"/>
      <c r="B77" s="326"/>
      <c r="C77" s="14"/>
      <c r="D77" s="24"/>
      <c r="E77" s="210"/>
      <c r="F77" s="19"/>
      <c r="G77" s="218"/>
      <c r="H77" s="14"/>
      <c r="I77" s="14"/>
    </row>
    <row r="78" spans="1:9">
      <c r="A78" s="13"/>
      <c r="B78" s="326"/>
      <c r="C78" s="14"/>
      <c r="D78" s="24"/>
      <c r="E78" s="210"/>
      <c r="F78" s="19"/>
      <c r="G78" s="218"/>
      <c r="H78" s="14"/>
      <c r="I78" s="14"/>
    </row>
    <row r="79" spans="1:9">
      <c r="A79" s="10" t="s">
        <v>900</v>
      </c>
      <c r="B79" s="327"/>
      <c r="C79" s="15">
        <f>SUM(C81:C85)</f>
        <v>400000</v>
      </c>
      <c r="D79" s="15">
        <f>SUM(D81:D85)</f>
        <v>0</v>
      </c>
      <c r="E79" s="213">
        <f>SUM(E81:E86)</f>
        <v>6091287.21</v>
      </c>
      <c r="F79" s="213">
        <f>SUM(F81:F86)</f>
        <v>4007754.23</v>
      </c>
      <c r="G79" s="213">
        <f>SUM(G81:G89)</f>
        <v>11410187.68</v>
      </c>
      <c r="H79" s="16">
        <f>SUM(H81:H85)</f>
        <v>1324578</v>
      </c>
      <c r="I79" s="16">
        <f>SUM(I81:I85)</f>
        <v>6842056</v>
      </c>
    </row>
    <row r="80" spans="1:9">
      <c r="A80" s="13"/>
      <c r="B80" s="326"/>
      <c r="C80" s="14"/>
      <c r="D80" s="24"/>
      <c r="E80" s="210"/>
      <c r="F80" s="19"/>
      <c r="G80" s="218"/>
      <c r="H80" s="14"/>
      <c r="I80" s="14"/>
    </row>
    <row r="81" spans="1:9">
      <c r="A81" s="13" t="s">
        <v>901</v>
      </c>
      <c r="B81" s="328" t="s">
        <v>856</v>
      </c>
      <c r="C81" s="14"/>
      <c r="D81" s="24"/>
      <c r="E81" s="210">
        <v>0</v>
      </c>
      <c r="F81" s="19"/>
      <c r="G81" s="218"/>
      <c r="H81" s="19">
        <v>1324578</v>
      </c>
      <c r="I81" s="19">
        <v>5607166</v>
      </c>
    </row>
    <row r="82" spans="1:9">
      <c r="A82" s="13" t="s">
        <v>914</v>
      </c>
      <c r="B82" s="328" t="s">
        <v>856</v>
      </c>
      <c r="C82" s="14"/>
      <c r="D82" s="24"/>
      <c r="E82" s="210">
        <v>5191287.21</v>
      </c>
      <c r="F82" s="19">
        <v>3017754.23</v>
      </c>
      <c r="G82" s="218">
        <v>3892266.73</v>
      </c>
      <c r="H82" s="19">
        <v>0</v>
      </c>
      <c r="I82" s="19">
        <v>1234890</v>
      </c>
    </row>
    <row r="83" spans="1:9">
      <c r="A83" s="13" t="s">
        <v>902</v>
      </c>
      <c r="B83" s="328" t="s">
        <v>857</v>
      </c>
      <c r="C83" s="14">
        <v>400000</v>
      </c>
      <c r="D83" s="24"/>
      <c r="E83" s="210">
        <v>800000</v>
      </c>
      <c r="F83" s="19">
        <v>950000</v>
      </c>
      <c r="G83" s="218">
        <v>0</v>
      </c>
      <c r="H83" s="14"/>
      <c r="I83" s="14"/>
    </row>
    <row r="84" spans="1:9">
      <c r="A84" s="13" t="s">
        <v>903</v>
      </c>
      <c r="B84" s="328" t="s">
        <v>904</v>
      </c>
      <c r="C84" s="14"/>
      <c r="D84" s="24">
        <v>0</v>
      </c>
      <c r="E84" s="210"/>
      <c r="F84" s="19"/>
      <c r="G84" s="218"/>
      <c r="H84" s="14"/>
      <c r="I84" s="14"/>
    </row>
    <row r="85" spans="1:9">
      <c r="A85" s="13" t="s">
        <v>905</v>
      </c>
      <c r="B85" s="328" t="s">
        <v>904</v>
      </c>
      <c r="C85" s="14"/>
      <c r="D85" s="24">
        <v>0</v>
      </c>
      <c r="E85" s="210"/>
      <c r="F85" s="19"/>
      <c r="G85" s="218"/>
      <c r="H85" s="14"/>
      <c r="I85" s="14"/>
    </row>
    <row r="86" spans="1:9">
      <c r="A86" s="13" t="s">
        <v>937</v>
      </c>
      <c r="B86" s="328" t="s">
        <v>857</v>
      </c>
      <c r="C86" s="14"/>
      <c r="D86" s="24"/>
      <c r="E86" s="210">
        <v>100000</v>
      </c>
      <c r="F86" s="19">
        <v>40000</v>
      </c>
      <c r="G86" s="218"/>
      <c r="H86" s="14"/>
      <c r="I86" s="14"/>
    </row>
    <row r="87" spans="1:9">
      <c r="A87" s="13" t="s">
        <v>1127</v>
      </c>
      <c r="B87" s="328" t="s">
        <v>856</v>
      </c>
      <c r="C87" s="14"/>
      <c r="D87" s="24"/>
      <c r="E87" s="210"/>
      <c r="F87" s="19"/>
      <c r="G87" s="218">
        <v>3695524.71</v>
      </c>
      <c r="H87" s="14"/>
      <c r="I87" s="14"/>
    </row>
    <row r="88" spans="1:9">
      <c r="A88" s="13" t="s">
        <v>1128</v>
      </c>
      <c r="B88" s="328" t="s">
        <v>856</v>
      </c>
      <c r="C88" s="14"/>
      <c r="D88" s="24"/>
      <c r="E88" s="210"/>
      <c r="F88" s="19"/>
      <c r="G88" s="218">
        <v>3822396.24</v>
      </c>
      <c r="H88" s="14"/>
      <c r="I88" s="14"/>
    </row>
    <row r="89" spans="1:9">
      <c r="A89" s="13"/>
      <c r="B89" s="328"/>
      <c r="C89" s="14"/>
      <c r="D89" s="24"/>
      <c r="E89" s="210"/>
      <c r="F89" s="19"/>
      <c r="G89" s="218"/>
      <c r="H89" s="14"/>
      <c r="I89" s="14"/>
    </row>
    <row r="90" spans="1:9" s="22" customFormat="1" ht="15.75" thickBot="1">
      <c r="A90" s="307" t="s">
        <v>906</v>
      </c>
      <c r="B90" s="329"/>
      <c r="C90" s="308">
        <f>SUM(C79+C72+C61+C47+C29+C20+C10+C4)</f>
        <v>55293000</v>
      </c>
      <c r="D90" s="309">
        <f>SUM(D79+D72+D61+D47+D29+D20+D10+D4)</f>
        <v>54548911.100000001</v>
      </c>
      <c r="E90" s="308">
        <f>E79+E72+E61+E47+E29+E20+E10+E4</f>
        <v>67597000</v>
      </c>
      <c r="F90" s="308">
        <f>F79+F72+F61+F47+F29+F20+F10+F4</f>
        <v>67767000</v>
      </c>
      <c r="G90" s="308">
        <f>G79+G72+G61+G47+G29+G20+G10+G4</f>
        <v>64217999.999499984</v>
      </c>
      <c r="H90" s="310">
        <f>SUM(H79+H72+H61+H47+H29+H20+H10+H4)</f>
        <v>31389000</v>
      </c>
      <c r="I90" s="310">
        <f>SUM(I79+I72+I61+I47+I29+I20+I10+I4)</f>
        <v>89860111</v>
      </c>
    </row>
    <row r="91" spans="1:9">
      <c r="A91" s="8"/>
      <c r="B91" s="330"/>
      <c r="C91" s="9"/>
      <c r="D91" s="23"/>
      <c r="E91" s="208"/>
      <c r="F91" s="256"/>
      <c r="G91" s="217"/>
      <c r="H91" s="9"/>
      <c r="I91" s="9"/>
    </row>
    <row r="92" spans="1:9" s="1" customFormat="1">
      <c r="A92" s="17" t="s">
        <v>907</v>
      </c>
      <c r="B92" s="328"/>
      <c r="C92" s="18"/>
      <c r="D92" s="24"/>
      <c r="E92" s="211"/>
      <c r="F92" s="257"/>
      <c r="G92" s="219"/>
      <c r="H92" s="18"/>
      <c r="I92" s="18"/>
    </row>
    <row r="93" spans="1:9">
      <c r="A93" s="13"/>
      <c r="B93" s="328"/>
      <c r="C93" s="14"/>
      <c r="D93" s="24"/>
      <c r="E93" s="210"/>
      <c r="F93" s="19"/>
      <c r="G93" s="218"/>
      <c r="H93" s="14"/>
      <c r="I93" s="14"/>
    </row>
    <row r="94" spans="1:9" s="1" customFormat="1">
      <c r="A94" s="17" t="s">
        <v>908</v>
      </c>
      <c r="B94" s="328" t="s">
        <v>659</v>
      </c>
      <c r="C94" s="18">
        <v>12000000</v>
      </c>
      <c r="D94" s="312">
        <v>20000000</v>
      </c>
      <c r="E94" s="211">
        <v>30000000</v>
      </c>
      <c r="F94" s="257">
        <v>30000000</v>
      </c>
      <c r="G94" s="219">
        <f>G23+G31+G32+G33+G35+G43+G45+G69</f>
        <v>39999999.999499992</v>
      </c>
      <c r="H94" s="257">
        <v>0</v>
      </c>
      <c r="I94" s="257">
        <f>I23+I31+I32+I33+I43+I69</f>
        <v>55000000</v>
      </c>
    </row>
    <row r="95" spans="1:9" s="1" customFormat="1">
      <c r="A95" s="17" t="s">
        <v>909</v>
      </c>
      <c r="B95" s="328" t="s">
        <v>856</v>
      </c>
      <c r="C95" s="18">
        <v>32297000</v>
      </c>
      <c r="D95" s="312">
        <v>26572000</v>
      </c>
      <c r="E95" s="211">
        <v>24633000</v>
      </c>
      <c r="F95" s="257">
        <v>24633000</v>
      </c>
      <c r="G95" s="219">
        <f>G13+G14+G15+G16+G17+G18+G22+G24+G25+G34+G36+G38+G39+G40+G46+G63+G64+G65+G76+G75+G81+G82+G87+G88</f>
        <v>24218000</v>
      </c>
      <c r="H95" s="257">
        <f>H13+H14+H15+H16+H18+H24+H36+H76+H81</f>
        <v>25899000</v>
      </c>
      <c r="I95" s="257">
        <f>I13+I14+I15+I16+I24+I25+I36+I63+I64+I65+I76+I81+I82</f>
        <v>27194000</v>
      </c>
    </row>
    <row r="96" spans="1:9" s="1" customFormat="1">
      <c r="A96" s="17" t="s">
        <v>910</v>
      </c>
      <c r="B96" s="328" t="s">
        <v>820</v>
      </c>
      <c r="C96" s="18">
        <v>5000000</v>
      </c>
      <c r="D96" s="312">
        <v>5300000</v>
      </c>
      <c r="E96" s="211">
        <v>3240000</v>
      </c>
      <c r="F96" s="257">
        <v>3240000</v>
      </c>
      <c r="G96" s="219">
        <v>0</v>
      </c>
      <c r="H96" s="18">
        <v>0</v>
      </c>
      <c r="I96" s="18">
        <v>0</v>
      </c>
    </row>
    <row r="97" spans="1:9" s="1" customFormat="1">
      <c r="A97" s="17" t="s">
        <v>1027</v>
      </c>
      <c r="B97" s="328" t="s">
        <v>1027</v>
      </c>
      <c r="C97" s="18"/>
      <c r="D97" s="312"/>
      <c r="E97" s="211">
        <v>4900000</v>
      </c>
      <c r="F97" s="257">
        <v>4900000</v>
      </c>
      <c r="G97" s="219"/>
      <c r="H97" s="18"/>
      <c r="I97" s="18"/>
    </row>
    <row r="98" spans="1:9" s="1" customFormat="1">
      <c r="A98" s="17" t="s">
        <v>911</v>
      </c>
      <c r="B98" s="328" t="s">
        <v>857</v>
      </c>
      <c r="C98" s="18">
        <v>5996000</v>
      </c>
      <c r="D98" s="312">
        <v>4150000</v>
      </c>
      <c r="E98" s="211">
        <v>4824000</v>
      </c>
      <c r="F98" s="257">
        <v>4994000</v>
      </c>
      <c r="G98" s="359">
        <f>G6+G7+G8+G12+G30+G37+G42+G44+G51+G52+G53+G54+G55+G56+G66+G67+G68+G83+G86</f>
        <v>0</v>
      </c>
      <c r="H98" s="18">
        <f>H6+H7+H30+H37+H70</f>
        <v>5490000</v>
      </c>
      <c r="I98" s="18">
        <f>I6+I7+I30+I37+I70</f>
        <v>7666111</v>
      </c>
    </row>
    <row r="99" spans="1:9" s="1" customFormat="1">
      <c r="A99" s="17"/>
      <c r="B99" s="328"/>
      <c r="C99" s="18"/>
      <c r="D99" s="312"/>
      <c r="E99" s="211"/>
      <c r="F99" s="257"/>
      <c r="G99" s="219"/>
      <c r="H99" s="18"/>
      <c r="I99" s="18"/>
    </row>
    <row r="100" spans="1:9" s="1" customFormat="1">
      <c r="A100" s="313" t="s">
        <v>912</v>
      </c>
      <c r="B100" s="331"/>
      <c r="C100" s="314">
        <f t="shared" ref="C100:I100" si="3">SUM(C94:C98)</f>
        <v>55293000</v>
      </c>
      <c r="D100" s="314">
        <f t="shared" si="3"/>
        <v>56022000</v>
      </c>
      <c r="E100" s="314">
        <f t="shared" si="3"/>
        <v>67597000</v>
      </c>
      <c r="F100" s="314">
        <f t="shared" si="3"/>
        <v>67767000</v>
      </c>
      <c r="G100" s="314">
        <f t="shared" si="3"/>
        <v>64217999.999499992</v>
      </c>
      <c r="H100" s="314">
        <f t="shared" si="3"/>
        <v>31389000</v>
      </c>
      <c r="I100" s="314">
        <f t="shared" si="3"/>
        <v>89860111</v>
      </c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scale="47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pane ySplit="2" topLeftCell="A47" activePane="bottomLeft" state="frozen"/>
      <selection pane="bottomLeft" activeCell="I70" sqref="I70"/>
    </sheetView>
  </sheetViews>
  <sheetFormatPr defaultRowHeight="15"/>
  <cols>
    <col min="2" max="2" width="5" bestFit="1" customWidth="1"/>
    <col min="3" max="3" width="31.7109375" bestFit="1" customWidth="1"/>
    <col min="4" max="4" width="22.140625" hidden="1" customWidth="1"/>
    <col min="5" max="5" width="15.7109375" hidden="1" customWidth="1"/>
    <col min="6" max="6" width="19.42578125" style="164" customWidth="1"/>
    <col min="7" max="7" width="19.7109375" style="164" bestFit="1" customWidth="1"/>
    <col min="8" max="9" width="26" bestFit="1" customWidth="1"/>
    <col min="10" max="10" width="15.85546875" style="2" bestFit="1" customWidth="1"/>
    <col min="11" max="11" width="15.140625" bestFit="1" customWidth="1"/>
  </cols>
  <sheetData>
    <row r="1" spans="1:10" ht="15.75" thickBot="1">
      <c r="A1" s="147"/>
      <c r="B1" s="147"/>
      <c r="C1" s="147"/>
      <c r="D1" s="147"/>
      <c r="E1" s="147"/>
      <c r="F1" s="147"/>
      <c r="G1" s="147"/>
      <c r="H1" s="147"/>
      <c r="I1" s="147"/>
    </row>
    <row r="2" spans="1:10" ht="15.75" thickBot="1">
      <c r="A2" s="147"/>
      <c r="B2" s="147"/>
      <c r="C2" s="147"/>
      <c r="D2" s="198" t="s">
        <v>916</v>
      </c>
      <c r="E2" s="214" t="s">
        <v>918</v>
      </c>
      <c r="F2" s="215" t="s">
        <v>916</v>
      </c>
      <c r="G2" s="150" t="s">
        <v>1102</v>
      </c>
      <c r="H2" s="150" t="s">
        <v>1103</v>
      </c>
      <c r="I2" s="150" t="s">
        <v>1123</v>
      </c>
    </row>
    <row r="3" spans="1:10">
      <c r="A3">
        <v>219</v>
      </c>
      <c r="B3">
        <v>8875</v>
      </c>
      <c r="C3" t="s">
        <v>49</v>
      </c>
      <c r="D3" s="27">
        <v>-1986406.9</v>
      </c>
      <c r="E3" s="27">
        <v>0</v>
      </c>
      <c r="F3" s="102">
        <f>D3+-3715600.92</f>
        <v>-5702007.8200000003</v>
      </c>
      <c r="G3" s="102">
        <f>F3+-137636.36+4000000+-2000000</f>
        <v>-3839644.1800000006</v>
      </c>
      <c r="H3" s="102">
        <f>G3</f>
        <v>-3839644.1800000006</v>
      </c>
      <c r="I3" s="38">
        <f>H3</f>
        <v>-3839644.1800000006</v>
      </c>
    </row>
    <row r="4" spans="1:10">
      <c r="A4">
        <v>220</v>
      </c>
      <c r="B4">
        <v>8832</v>
      </c>
      <c r="C4" t="s">
        <v>84</v>
      </c>
      <c r="D4" s="27">
        <v>-308604.92</v>
      </c>
      <c r="E4" s="27">
        <v>0</v>
      </c>
      <c r="F4" s="102">
        <f>D4+-645697.54</f>
        <v>-954302.46</v>
      </c>
      <c r="G4" s="102">
        <f>-150000</f>
        <v>-150000</v>
      </c>
      <c r="H4" s="102">
        <f t="shared" ref="H4:H38" si="0">G4</f>
        <v>-150000</v>
      </c>
      <c r="I4" s="38">
        <f>H4+-25000</f>
        <v>-175000</v>
      </c>
    </row>
    <row r="5" spans="1:10">
      <c r="A5">
        <v>220</v>
      </c>
      <c r="B5">
        <v>8875</v>
      </c>
      <c r="C5" t="s">
        <v>85</v>
      </c>
      <c r="D5" s="27">
        <v>-7733952.2800000003</v>
      </c>
      <c r="E5" s="27">
        <v>0</v>
      </c>
      <c r="F5" s="102">
        <f>D5+-3715600.92</f>
        <v>-11449553.199999999</v>
      </c>
      <c r="G5" s="102">
        <f>F5+-137636.36+4000000+673213.28+-2000000</f>
        <v>-8913976.2799999975</v>
      </c>
      <c r="H5" s="102">
        <f t="shared" si="0"/>
        <v>-8913976.2799999975</v>
      </c>
      <c r="I5" s="38">
        <f t="shared" ref="I5:I37" si="1">H5</f>
        <v>-8913976.2799999975</v>
      </c>
    </row>
    <row r="6" spans="1:10">
      <c r="A6">
        <v>227</v>
      </c>
      <c r="B6">
        <v>8875</v>
      </c>
      <c r="C6" t="s">
        <v>121</v>
      </c>
      <c r="D6" s="27">
        <v>-848685</v>
      </c>
      <c r="E6" s="27">
        <v>0</v>
      </c>
      <c r="F6" s="102">
        <f>D6+-3715600.92</f>
        <v>-4564285.92</v>
      </c>
      <c r="G6" s="102">
        <f>F6+-137636.36--3000000</f>
        <v>-1701922.2800000003</v>
      </c>
      <c r="H6" s="102">
        <f t="shared" si="0"/>
        <v>-1701922.2800000003</v>
      </c>
      <c r="I6" s="38">
        <f t="shared" si="1"/>
        <v>-1701922.2800000003</v>
      </c>
    </row>
    <row r="7" spans="1:10">
      <c r="A7">
        <v>229</v>
      </c>
      <c r="B7">
        <v>8875</v>
      </c>
      <c r="C7" t="s">
        <v>121</v>
      </c>
      <c r="D7" s="27">
        <v>-1905000</v>
      </c>
      <c r="E7" s="27">
        <v>0</v>
      </c>
      <c r="F7" s="102">
        <f>D7+-3715600.92</f>
        <v>-5620600.9199999999</v>
      </c>
      <c r="G7" s="102">
        <f>F7+-137636.36+-2000000--5000000</f>
        <v>-2758237.2800000003</v>
      </c>
      <c r="H7" s="102">
        <f t="shared" si="0"/>
        <v>-2758237.2800000003</v>
      </c>
      <c r="I7" s="38">
        <f t="shared" si="1"/>
        <v>-2758237.2800000003</v>
      </c>
    </row>
    <row r="8" spans="1:10">
      <c r="A8">
        <v>230</v>
      </c>
      <c r="B8">
        <v>8875</v>
      </c>
      <c r="C8" t="s">
        <v>121</v>
      </c>
      <c r="D8" s="27">
        <v>-505000</v>
      </c>
      <c r="E8" s="27">
        <v>0</v>
      </c>
      <c r="F8" s="102">
        <f>D8+-3715600.92</f>
        <v>-4220600.92</v>
      </c>
      <c r="G8" s="102">
        <f>F8+-137636.36</f>
        <v>-4358237.28</v>
      </c>
      <c r="H8" s="102">
        <f t="shared" si="0"/>
        <v>-4358237.28</v>
      </c>
      <c r="I8" s="38">
        <f t="shared" si="1"/>
        <v>-4358237.28</v>
      </c>
    </row>
    <row r="9" spans="1:10">
      <c r="A9">
        <v>230</v>
      </c>
      <c r="B9">
        <v>8877</v>
      </c>
      <c r="C9" t="s">
        <v>147</v>
      </c>
      <c r="D9" s="27">
        <v>-6021537.9199999999</v>
      </c>
      <c r="E9" s="27">
        <v>0</v>
      </c>
      <c r="F9" s="102">
        <f>D9+-221433.27</f>
        <v>-6242971.1899999995</v>
      </c>
      <c r="G9" s="102">
        <f>F9+-666619.59</f>
        <v>-6909590.7799999993</v>
      </c>
      <c r="H9" s="102">
        <f t="shared" si="0"/>
        <v>-6909590.7799999993</v>
      </c>
      <c r="I9" s="38">
        <v>-4098843.75</v>
      </c>
    </row>
    <row r="10" spans="1:10">
      <c r="A10">
        <v>239</v>
      </c>
      <c r="B10">
        <v>8831</v>
      </c>
      <c r="C10" t="s">
        <v>165</v>
      </c>
      <c r="D10" s="27">
        <v>-500000</v>
      </c>
      <c r="E10" s="27">
        <v>0</v>
      </c>
      <c r="F10" s="102">
        <f>D10+-33333.33</f>
        <v>-533333.32999999996</v>
      </c>
      <c r="G10" s="102">
        <f>F10--1333.33</f>
        <v>-532000</v>
      </c>
      <c r="H10" s="102">
        <f t="shared" si="0"/>
        <v>-532000</v>
      </c>
      <c r="I10" s="38">
        <f>H10+-200000</f>
        <v>-732000</v>
      </c>
    </row>
    <row r="11" spans="1:10">
      <c r="A11" s="43">
        <v>239</v>
      </c>
      <c r="B11" s="43">
        <v>8875</v>
      </c>
      <c r="C11" s="43" t="s">
        <v>121</v>
      </c>
      <c r="D11" s="32">
        <v>-6361891.79</v>
      </c>
      <c r="E11" s="32">
        <v>0</v>
      </c>
      <c r="F11" s="258">
        <f>D11+-3715600.92</f>
        <v>-10077492.710000001</v>
      </c>
      <c r="G11" s="102">
        <f>F11+-137636.36+2000000</f>
        <v>-8215129.0700000003</v>
      </c>
      <c r="H11" s="102">
        <f t="shared" si="0"/>
        <v>-8215129.0700000003</v>
      </c>
      <c r="I11" s="38">
        <f t="shared" si="1"/>
        <v>-8215129.0700000003</v>
      </c>
    </row>
    <row r="12" spans="1:10">
      <c r="A12">
        <v>244</v>
      </c>
      <c r="B12">
        <v>8877</v>
      </c>
      <c r="C12" t="s">
        <v>236</v>
      </c>
      <c r="D12" s="27">
        <v>0</v>
      </c>
      <c r="E12" s="27">
        <v>-50391.61</v>
      </c>
      <c r="F12" s="102"/>
      <c r="G12" s="102"/>
      <c r="H12" s="102">
        <f t="shared" si="0"/>
        <v>0</v>
      </c>
      <c r="I12" s="38">
        <f t="shared" si="1"/>
        <v>0</v>
      </c>
    </row>
    <row r="13" spans="1:10">
      <c r="A13">
        <v>245</v>
      </c>
      <c r="B13">
        <v>8875</v>
      </c>
      <c r="C13" t="s">
        <v>121</v>
      </c>
      <c r="D13" s="27">
        <v>-1648811.84</v>
      </c>
      <c r="E13" s="27">
        <v>0</v>
      </c>
      <c r="F13" s="102">
        <f>D13+-3715600.92</f>
        <v>-5364412.76</v>
      </c>
      <c r="G13" s="102">
        <f>F13+-137636.36+1001127.53+-1370233.67</f>
        <v>-5871155.2599999998</v>
      </c>
      <c r="H13" s="102">
        <f t="shared" si="0"/>
        <v>-5871155.2599999998</v>
      </c>
      <c r="I13" s="38">
        <f t="shared" si="1"/>
        <v>-5871155.2599999998</v>
      </c>
    </row>
    <row r="14" spans="1:10">
      <c r="A14">
        <v>262</v>
      </c>
      <c r="B14">
        <v>8809</v>
      </c>
      <c r="C14" t="s">
        <v>300</v>
      </c>
      <c r="D14" s="27">
        <v>-5000000</v>
      </c>
      <c r="E14" s="27">
        <v>0</v>
      </c>
      <c r="F14" s="102"/>
      <c r="G14" s="102"/>
      <c r="H14" s="102">
        <f t="shared" si="0"/>
        <v>0</v>
      </c>
      <c r="I14" s="38">
        <f t="shared" si="1"/>
        <v>0</v>
      </c>
    </row>
    <row r="15" spans="1:10">
      <c r="A15">
        <v>262</v>
      </c>
      <c r="B15">
        <v>8875</v>
      </c>
      <c r="C15" t="s">
        <v>121</v>
      </c>
      <c r="D15" s="27">
        <v>-7030223.7999999998</v>
      </c>
      <c r="E15" s="27">
        <v>0</v>
      </c>
      <c r="F15" s="102">
        <f>D15+-3715600.92</f>
        <v>-10745824.719999999</v>
      </c>
      <c r="G15" s="102">
        <f>F15+-137636.36+2000000</f>
        <v>-8883461.0799999982</v>
      </c>
      <c r="H15" s="102">
        <f>G15</f>
        <v>-8883461.0799999982</v>
      </c>
      <c r="I15" s="38">
        <f t="shared" si="1"/>
        <v>-8883461.0799999982</v>
      </c>
    </row>
    <row r="16" spans="1:10" s="35" customFormat="1">
      <c r="A16" s="35">
        <v>262</v>
      </c>
      <c r="B16" s="35">
        <v>8877</v>
      </c>
      <c r="C16" s="35" t="s">
        <v>147</v>
      </c>
      <c r="D16" s="38"/>
      <c r="E16" s="38"/>
      <c r="F16" s="102"/>
      <c r="G16" s="102">
        <v>-5184323.2699999996</v>
      </c>
      <c r="H16" s="102">
        <f t="shared" si="0"/>
        <v>-5184323.2699999996</v>
      </c>
      <c r="I16" s="38">
        <v>-11410187.68</v>
      </c>
      <c r="J16" s="34"/>
    </row>
    <row r="17" spans="1:10">
      <c r="A17">
        <v>267</v>
      </c>
      <c r="B17">
        <v>8875</v>
      </c>
      <c r="C17" t="s">
        <v>121</v>
      </c>
      <c r="D17" s="27">
        <v>-1364000</v>
      </c>
      <c r="E17" s="27">
        <v>0</v>
      </c>
      <c r="F17" s="102">
        <f>D17+-3715600.92</f>
        <v>-5079600.92</v>
      </c>
      <c r="G17" s="102">
        <f>F17+-137636.37+3000000</f>
        <v>-2217237.29</v>
      </c>
      <c r="H17" s="102">
        <f t="shared" si="0"/>
        <v>-2217237.29</v>
      </c>
      <c r="I17" s="38">
        <f t="shared" si="1"/>
        <v>-2217237.29</v>
      </c>
    </row>
    <row r="18" spans="1:10">
      <c r="A18">
        <v>268</v>
      </c>
      <c r="B18">
        <v>8835</v>
      </c>
      <c r="C18" t="s">
        <v>362</v>
      </c>
      <c r="D18" s="27">
        <v>-1104000</v>
      </c>
      <c r="E18" s="27">
        <v>0</v>
      </c>
      <c r="F18" s="102">
        <f>D18</f>
        <v>-1104000</v>
      </c>
      <c r="G18" s="102">
        <f>F18-4000</f>
        <v>-1108000</v>
      </c>
      <c r="H18" s="102">
        <f t="shared" si="0"/>
        <v>-1108000</v>
      </c>
      <c r="I18" s="38">
        <f>H18--85000</f>
        <v>-1023000</v>
      </c>
    </row>
    <row r="19" spans="1:10">
      <c r="A19">
        <v>268</v>
      </c>
      <c r="B19">
        <v>8875</v>
      </c>
      <c r="C19" t="s">
        <v>363</v>
      </c>
      <c r="D19" s="27">
        <v>-45418.239999999998</v>
      </c>
      <c r="E19" s="27">
        <v>0</v>
      </c>
      <c r="F19" s="102">
        <f>D19+-3715600.92</f>
        <v>-3761019.16</v>
      </c>
      <c r="G19" s="102">
        <v>-9419663</v>
      </c>
      <c r="H19" s="102">
        <f t="shared" si="0"/>
        <v>-9419663</v>
      </c>
      <c r="I19" s="38">
        <f>H19--1471000</f>
        <v>-7948663</v>
      </c>
    </row>
    <row r="20" spans="1:10">
      <c r="A20">
        <v>268</v>
      </c>
      <c r="B20">
        <v>8877</v>
      </c>
      <c r="C20" t="s">
        <v>147</v>
      </c>
      <c r="D20" s="27">
        <v>-1216044.48</v>
      </c>
      <c r="E20" s="27">
        <v>0</v>
      </c>
      <c r="F20" s="102">
        <f>D20+-221433.27</f>
        <v>-1437477.75</v>
      </c>
      <c r="G20" s="102">
        <f>F20+1364365.14</f>
        <v>-73112.610000000102</v>
      </c>
      <c r="H20" s="102">
        <f t="shared" si="0"/>
        <v>-73112.610000000102</v>
      </c>
      <c r="I20" s="38">
        <v>-1414994.59</v>
      </c>
    </row>
    <row r="21" spans="1:10">
      <c r="A21">
        <v>274</v>
      </c>
      <c r="B21">
        <v>8831</v>
      </c>
      <c r="C21" t="s">
        <v>165</v>
      </c>
      <c r="D21" s="27">
        <v>-50000</v>
      </c>
      <c r="E21" s="27">
        <v>-934000</v>
      </c>
      <c r="F21" s="102">
        <f>D21+-33333.33</f>
        <v>-83333.33</v>
      </c>
      <c r="G21" s="102">
        <f>F21--1333.33</f>
        <v>-82000</v>
      </c>
      <c r="H21" s="102">
        <f t="shared" si="0"/>
        <v>-82000</v>
      </c>
      <c r="I21" s="38">
        <f>H21+-170000</f>
        <v>-252000</v>
      </c>
    </row>
    <row r="22" spans="1:10">
      <c r="A22">
        <v>274</v>
      </c>
      <c r="B22">
        <v>8832</v>
      </c>
      <c r="C22" t="s">
        <v>428</v>
      </c>
      <c r="D22" s="27">
        <v>0</v>
      </c>
      <c r="E22" s="27">
        <v>-1600000</v>
      </c>
      <c r="F22" s="102">
        <f>D22+-645697.54</f>
        <v>-645697.54</v>
      </c>
      <c r="G22" s="102">
        <f>-1450000</f>
        <v>-1450000</v>
      </c>
      <c r="H22" s="102">
        <f t="shared" si="0"/>
        <v>-1450000</v>
      </c>
      <c r="I22" s="38">
        <f t="shared" si="1"/>
        <v>-1450000</v>
      </c>
    </row>
    <row r="23" spans="1:10">
      <c r="A23">
        <v>274</v>
      </c>
      <c r="B23">
        <v>8835</v>
      </c>
      <c r="C23" t="s">
        <v>430</v>
      </c>
      <c r="D23" s="27">
        <v>0</v>
      </c>
      <c r="E23" s="27">
        <v>-1104000</v>
      </c>
      <c r="F23" s="102"/>
      <c r="G23" s="102"/>
      <c r="H23" s="102">
        <f t="shared" si="0"/>
        <v>0</v>
      </c>
      <c r="I23" s="38">
        <f t="shared" si="1"/>
        <v>0</v>
      </c>
    </row>
    <row r="24" spans="1:10">
      <c r="A24">
        <v>274</v>
      </c>
      <c r="B24">
        <v>8875</v>
      </c>
      <c r="C24" t="s">
        <v>431</v>
      </c>
      <c r="D24" s="27">
        <v>0</v>
      </c>
      <c r="E24" s="27">
        <v>-56189000</v>
      </c>
      <c r="F24" s="102">
        <v>0</v>
      </c>
      <c r="G24" s="102">
        <v>-466000</v>
      </c>
      <c r="H24" s="102">
        <f t="shared" si="0"/>
        <v>-466000</v>
      </c>
      <c r="I24" s="38">
        <f t="shared" si="1"/>
        <v>-466000</v>
      </c>
    </row>
    <row r="25" spans="1:10">
      <c r="A25">
        <v>274</v>
      </c>
      <c r="B25">
        <v>8877</v>
      </c>
      <c r="C25" t="s">
        <v>433</v>
      </c>
      <c r="D25" s="27">
        <v>0</v>
      </c>
      <c r="E25" s="27">
        <v>-19407000</v>
      </c>
      <c r="F25" s="102"/>
      <c r="G25" s="102"/>
      <c r="H25" s="102">
        <f t="shared" si="0"/>
        <v>0</v>
      </c>
      <c r="I25" s="38">
        <f t="shared" si="1"/>
        <v>0</v>
      </c>
    </row>
    <row r="26" spans="1:10" s="71" customFormat="1">
      <c r="A26" s="71">
        <v>275</v>
      </c>
      <c r="B26" s="71">
        <v>8875</v>
      </c>
      <c r="C26" s="71" t="s">
        <v>431</v>
      </c>
      <c r="D26" s="70"/>
      <c r="E26" s="70"/>
      <c r="F26" s="108"/>
      <c r="G26" s="108">
        <v>-10800989</v>
      </c>
      <c r="H26" s="102">
        <f t="shared" si="0"/>
        <v>-10800989</v>
      </c>
      <c r="I26" s="38">
        <f t="shared" si="1"/>
        <v>-10800989</v>
      </c>
      <c r="J26" s="270"/>
    </row>
    <row r="27" spans="1:10">
      <c r="A27">
        <v>275</v>
      </c>
      <c r="B27">
        <v>8877</v>
      </c>
      <c r="C27" t="s">
        <v>147</v>
      </c>
      <c r="D27" s="27">
        <v>-10717825.42</v>
      </c>
      <c r="E27" s="27">
        <v>0</v>
      </c>
      <c r="F27" s="102">
        <f>D27+-442866.54</f>
        <v>-11160691.959999999</v>
      </c>
      <c r="G27" s="102">
        <f>F27+-1148572.35</f>
        <v>-12309264.309999999</v>
      </c>
      <c r="H27" s="102">
        <f t="shared" si="0"/>
        <v>-12309264.309999999</v>
      </c>
      <c r="I27" s="38">
        <v>-4919186.76</v>
      </c>
    </row>
    <row r="28" spans="1:10" s="35" customFormat="1">
      <c r="A28" s="35">
        <v>290</v>
      </c>
      <c r="C28" s="35" t="s">
        <v>982</v>
      </c>
      <c r="D28" s="38"/>
      <c r="E28" s="38"/>
      <c r="F28" s="102"/>
      <c r="G28" s="102">
        <v>0</v>
      </c>
      <c r="H28" s="102">
        <f t="shared" si="0"/>
        <v>0</v>
      </c>
      <c r="I28" s="38">
        <f t="shared" si="1"/>
        <v>0</v>
      </c>
      <c r="J28" s="34"/>
    </row>
    <row r="29" spans="1:10">
      <c r="A29">
        <v>290</v>
      </c>
      <c r="B29">
        <v>8803</v>
      </c>
      <c r="C29" t="s">
        <v>564</v>
      </c>
      <c r="D29" s="27">
        <v>0</v>
      </c>
      <c r="E29" s="33">
        <v>-1000000</v>
      </c>
      <c r="F29" s="102"/>
      <c r="G29" s="102"/>
      <c r="H29" s="102">
        <f t="shared" si="0"/>
        <v>0</v>
      </c>
      <c r="I29" s="38">
        <f t="shared" si="1"/>
        <v>0</v>
      </c>
    </row>
    <row r="30" spans="1:10">
      <c r="A30">
        <v>290</v>
      </c>
      <c r="B30">
        <v>8875</v>
      </c>
      <c r="C30" t="s">
        <v>121</v>
      </c>
      <c r="D30" s="27">
        <v>-8710000</v>
      </c>
      <c r="E30" s="27">
        <v>0</v>
      </c>
      <c r="F30" s="102">
        <f>D30+-3715600.95</f>
        <v>-12425600.949999999</v>
      </c>
      <c r="G30" s="102">
        <v>-3580629</v>
      </c>
      <c r="H30" s="102">
        <f t="shared" si="0"/>
        <v>-3580629</v>
      </c>
      <c r="I30" s="38">
        <f t="shared" si="1"/>
        <v>-3580629</v>
      </c>
    </row>
    <row r="31" spans="1:10">
      <c r="A31">
        <v>290</v>
      </c>
      <c r="B31">
        <v>8912</v>
      </c>
      <c r="C31" t="s">
        <v>569</v>
      </c>
      <c r="D31" s="27">
        <v>-5300000</v>
      </c>
      <c r="E31" s="27">
        <v>-4300000</v>
      </c>
      <c r="F31" s="102">
        <f>D31</f>
        <v>-5300000</v>
      </c>
      <c r="G31" s="102">
        <f>F31+2060000</f>
        <v>-3240000</v>
      </c>
      <c r="H31" s="102">
        <f t="shared" si="0"/>
        <v>-3240000</v>
      </c>
      <c r="I31" s="38">
        <v>0</v>
      </c>
    </row>
    <row r="32" spans="1:10">
      <c r="A32">
        <v>291</v>
      </c>
      <c r="C32" t="s">
        <v>1027</v>
      </c>
      <c r="D32" s="27"/>
      <c r="E32" s="27"/>
      <c r="F32" s="102"/>
      <c r="G32" s="102">
        <v>-4900000</v>
      </c>
      <c r="H32" s="102">
        <f t="shared" si="0"/>
        <v>-4900000</v>
      </c>
      <c r="I32" s="38">
        <v>0</v>
      </c>
    </row>
    <row r="33" spans="1:10" s="35" customFormat="1">
      <c r="A33" s="35">
        <v>291</v>
      </c>
      <c r="B33" s="35">
        <v>8875</v>
      </c>
      <c r="C33" s="35" t="s">
        <v>121</v>
      </c>
      <c r="D33" s="38"/>
      <c r="E33" s="38"/>
      <c r="F33" s="102"/>
      <c r="G33" s="102">
        <v>-8138078</v>
      </c>
      <c r="H33" s="102">
        <f t="shared" si="0"/>
        <v>-8138078</v>
      </c>
      <c r="I33" s="38">
        <f t="shared" si="1"/>
        <v>-8138078</v>
      </c>
      <c r="J33" s="34"/>
    </row>
    <row r="34" spans="1:10">
      <c r="A34">
        <v>291</v>
      </c>
      <c r="B34">
        <v>8877</v>
      </c>
      <c r="C34" t="s">
        <v>147</v>
      </c>
      <c r="D34" s="27">
        <v>-3693940.97</v>
      </c>
      <c r="E34" s="27">
        <v>0</v>
      </c>
      <c r="F34" s="102">
        <f>D34+-221433.27</f>
        <v>-3915374.24</v>
      </c>
      <c r="G34" s="102">
        <f>F34+3758665.21</f>
        <v>-156709.03000000026</v>
      </c>
      <c r="H34" s="102">
        <f t="shared" si="0"/>
        <v>-156709.03000000026</v>
      </c>
      <c r="I34" s="38">
        <v>0</v>
      </c>
    </row>
    <row r="35" spans="1:10">
      <c r="A35">
        <v>291</v>
      </c>
      <c r="B35">
        <v>8879</v>
      </c>
      <c r="C35" t="s">
        <v>608</v>
      </c>
      <c r="D35" s="27">
        <v>-1970009.32</v>
      </c>
      <c r="E35" s="27">
        <v>0</v>
      </c>
      <c r="F35" s="102">
        <f>D35</f>
        <v>-1970009.32</v>
      </c>
      <c r="G35" s="102">
        <f>F35+-8540433.22</f>
        <v>-10510442.540000001</v>
      </c>
      <c r="H35" s="102">
        <f t="shared" si="0"/>
        <v>-10510442.540000001</v>
      </c>
      <c r="I35" s="38">
        <v>-279103.03999999998</v>
      </c>
    </row>
    <row r="36" spans="1:10">
      <c r="A36">
        <v>293</v>
      </c>
      <c r="B36">
        <v>8831</v>
      </c>
      <c r="C36" t="s">
        <v>658</v>
      </c>
      <c r="D36" s="27">
        <v>-284000</v>
      </c>
      <c r="E36" s="27">
        <v>0</v>
      </c>
      <c r="F36" s="102">
        <f>D36+-33333.34</f>
        <v>-317333.33999999997</v>
      </c>
      <c r="G36" s="102">
        <f>F36--1333.34</f>
        <v>-315999.99999999994</v>
      </c>
      <c r="H36" s="102">
        <f t="shared" si="0"/>
        <v>-315999.99999999994</v>
      </c>
      <c r="I36" s="38">
        <f t="shared" si="1"/>
        <v>-315999.99999999994</v>
      </c>
    </row>
    <row r="37" spans="1:10" s="35" customFormat="1">
      <c r="A37" s="35">
        <v>293</v>
      </c>
      <c r="B37" s="35">
        <v>8875</v>
      </c>
      <c r="C37" s="35" t="s">
        <v>363</v>
      </c>
      <c r="D37" s="38"/>
      <c r="E37" s="38"/>
      <c r="F37" s="102"/>
      <c r="G37" s="102">
        <v>-1360641</v>
      </c>
      <c r="H37" s="102">
        <f t="shared" si="0"/>
        <v>-1360641</v>
      </c>
      <c r="I37" s="38">
        <f t="shared" si="1"/>
        <v>-1360641</v>
      </c>
      <c r="J37" s="34"/>
    </row>
    <row r="38" spans="1:10">
      <c r="A38">
        <v>293</v>
      </c>
      <c r="B38">
        <v>8877</v>
      </c>
      <c r="C38" t="s">
        <v>147</v>
      </c>
      <c r="D38" s="27">
        <v>-3594051.58</v>
      </c>
      <c r="E38" s="27">
        <v>0</v>
      </c>
      <c r="F38" s="102">
        <f>D38+-221433.37</f>
        <v>-3815484.95</v>
      </c>
      <c r="G38" s="102">
        <v>0</v>
      </c>
      <c r="H38" s="102">
        <f t="shared" si="0"/>
        <v>0</v>
      </c>
      <c r="I38" s="38">
        <v>-2374787.2200000002</v>
      </c>
    </row>
    <row r="39" spans="1:10">
      <c r="A39">
        <v>293</v>
      </c>
      <c r="B39">
        <v>8879</v>
      </c>
      <c r="C39" t="s">
        <v>659</v>
      </c>
      <c r="D39" s="27">
        <v>-18029990.68</v>
      </c>
      <c r="E39" s="27">
        <v>0</v>
      </c>
      <c r="F39" s="102">
        <f>D39</f>
        <v>-18029990.68</v>
      </c>
      <c r="G39" s="102">
        <f>F39+G45-1459566.78</f>
        <v>-19489557.460000001</v>
      </c>
      <c r="H39" s="102">
        <f>G39</f>
        <v>-19489557.460000001</v>
      </c>
      <c r="I39" s="38">
        <v>-39720896.960000001</v>
      </c>
    </row>
    <row r="40" spans="1:10">
      <c r="F40" s="159"/>
      <c r="G40" s="159"/>
      <c r="H40" s="159"/>
    </row>
    <row r="41" spans="1:10" ht="15.75" thickBot="1">
      <c r="D41" s="28">
        <f t="shared" ref="D41:I41" si="2">SUM(D3:D39)</f>
        <v>-95929395.139999986</v>
      </c>
      <c r="E41" s="28">
        <f t="shared" si="2"/>
        <v>-84584391.609999999</v>
      </c>
      <c r="F41" s="259">
        <f t="shared" si="2"/>
        <v>-134521000.08999997</v>
      </c>
      <c r="G41" s="259">
        <f t="shared" si="2"/>
        <v>-146936000</v>
      </c>
      <c r="H41" s="259">
        <f t="shared" si="2"/>
        <v>-146936000</v>
      </c>
      <c r="I41" s="63">
        <f t="shared" si="2"/>
        <v>-147220000.00000003</v>
      </c>
    </row>
    <row r="42" spans="1:10" ht="15.75" thickTop="1">
      <c r="F42" s="159"/>
      <c r="G42" s="159"/>
      <c r="H42" s="159"/>
    </row>
    <row r="43" spans="1:10">
      <c r="F43" s="159"/>
      <c r="G43" s="159"/>
      <c r="H43" s="159"/>
    </row>
    <row r="44" spans="1:10">
      <c r="F44" s="159"/>
      <c r="G44" s="159"/>
      <c r="H44" s="159"/>
    </row>
    <row r="45" spans="1:10">
      <c r="F45" s="159"/>
      <c r="G45" s="159"/>
      <c r="H45" s="159"/>
    </row>
    <row r="46" spans="1:10">
      <c r="F46" s="159"/>
      <c r="G46" s="159"/>
      <c r="H46" s="159"/>
    </row>
    <row r="47" spans="1:10">
      <c r="F47" s="159"/>
      <c r="G47" s="159"/>
      <c r="H47" s="159"/>
    </row>
    <row r="48" spans="1:10" ht="15.75" thickBot="1">
      <c r="F48" s="159"/>
      <c r="G48" s="159"/>
      <c r="H48" s="159"/>
    </row>
    <row r="49" spans="3:13" ht="15.75" thickBot="1">
      <c r="D49" s="36" t="s">
        <v>919</v>
      </c>
      <c r="E49" s="37" t="s">
        <v>918</v>
      </c>
      <c r="F49" s="260" t="s">
        <v>916</v>
      </c>
      <c r="G49" s="260" t="s">
        <v>1102</v>
      </c>
      <c r="H49" s="260" t="s">
        <v>1103</v>
      </c>
      <c r="I49" s="263" t="s">
        <v>1123</v>
      </c>
      <c r="K49" s="39"/>
      <c r="L49" s="39"/>
      <c r="M49" s="39"/>
    </row>
    <row r="50" spans="3:13">
      <c r="C50" t="s">
        <v>121</v>
      </c>
      <c r="D50" s="27">
        <f>D3+D5+D6+D7+D8+D11+D13+D15+D17+D19+D24+D30</f>
        <v>-38139389.849999994</v>
      </c>
      <c r="E50" s="38">
        <f>E3+E5+E6+E7+E8+E11+E13+E15+E17+E19+E24+E30</f>
        <v>-56189000</v>
      </c>
      <c r="F50" s="102">
        <f>F3+F5+F6+F7+F8+F11+F13+F15+F17+F19+F24+F30</f>
        <v>-79011000</v>
      </c>
      <c r="G50" s="102">
        <f>G3+G5+G6+G7+G8+G11+G13+G15+G17+G19+G24+G26+G30+G33+G37</f>
        <v>-80525000</v>
      </c>
      <c r="H50" s="102">
        <f>H3+H5+H6+H7+H8+H11+H13+H15+H17+H19+H24+H26+H30+H33+H37</f>
        <v>-80525000</v>
      </c>
      <c r="I50" s="38">
        <f>I3+I5+I6+I7+I8+I11+I13+I15+I17+I19+I24+I26+I30+I33+I37</f>
        <v>-79054000</v>
      </c>
      <c r="J50" s="2">
        <v>-79054000</v>
      </c>
      <c r="K50" s="178">
        <f>J50-I50</f>
        <v>0</v>
      </c>
      <c r="L50" s="40"/>
      <c r="M50" s="40"/>
    </row>
    <row r="51" spans="3:13">
      <c r="C51" t="s">
        <v>84</v>
      </c>
      <c r="D51" s="27">
        <f t="shared" ref="D51:I51" si="3">D4+D22</f>
        <v>-308604.92</v>
      </c>
      <c r="E51" s="38">
        <f t="shared" si="3"/>
        <v>-1600000</v>
      </c>
      <c r="F51" s="102">
        <f t="shared" si="3"/>
        <v>-1600000</v>
      </c>
      <c r="G51" s="102">
        <f t="shared" si="3"/>
        <v>-1600000</v>
      </c>
      <c r="H51" s="102">
        <f t="shared" si="3"/>
        <v>-1600000</v>
      </c>
      <c r="I51" s="38">
        <f t="shared" si="3"/>
        <v>-1625000</v>
      </c>
      <c r="J51" s="2">
        <v>-1625000</v>
      </c>
      <c r="K51" s="178">
        <f t="shared" ref="K51:K62" si="4">J51-I51</f>
        <v>0</v>
      </c>
      <c r="L51" s="40"/>
      <c r="M51" s="40"/>
    </row>
    <row r="52" spans="3:13">
      <c r="C52" t="s">
        <v>165</v>
      </c>
      <c r="D52" s="27">
        <f t="shared" ref="D52:I52" si="5">D10+D21+D36</f>
        <v>-834000</v>
      </c>
      <c r="E52" s="27">
        <f t="shared" si="5"/>
        <v>-934000</v>
      </c>
      <c r="F52" s="102">
        <f t="shared" si="5"/>
        <v>-933999.99999999988</v>
      </c>
      <c r="G52" s="102">
        <f t="shared" si="5"/>
        <v>-930000</v>
      </c>
      <c r="H52" s="102">
        <f t="shared" si="5"/>
        <v>-930000</v>
      </c>
      <c r="I52" s="38">
        <f t="shared" si="5"/>
        <v>-1300000</v>
      </c>
      <c r="J52" s="2">
        <v>-1300000</v>
      </c>
      <c r="K52" s="178">
        <f t="shared" si="4"/>
        <v>0</v>
      </c>
      <c r="L52" s="40"/>
      <c r="M52" s="40"/>
    </row>
    <row r="53" spans="3:13">
      <c r="C53" t="s">
        <v>236</v>
      </c>
      <c r="D53" s="27">
        <f>D12</f>
        <v>0</v>
      </c>
      <c r="E53" s="27">
        <f>E12</f>
        <v>-50391.61</v>
      </c>
      <c r="F53" s="102">
        <f>F12</f>
        <v>0</v>
      </c>
      <c r="G53" s="159"/>
      <c r="H53" s="102">
        <f>G53</f>
        <v>0</v>
      </c>
      <c r="I53" s="38">
        <f>H53</f>
        <v>0</v>
      </c>
      <c r="K53" s="178">
        <f t="shared" si="4"/>
        <v>0</v>
      </c>
      <c r="L53" s="40"/>
      <c r="M53" s="40"/>
    </row>
    <row r="54" spans="3:13">
      <c r="C54" t="s">
        <v>362</v>
      </c>
      <c r="D54" s="27">
        <f t="shared" ref="D54:I54" si="6">D18+D23</f>
        <v>-1104000</v>
      </c>
      <c r="E54" s="27">
        <f t="shared" si="6"/>
        <v>-1104000</v>
      </c>
      <c r="F54" s="102">
        <f t="shared" si="6"/>
        <v>-1104000</v>
      </c>
      <c r="G54" s="102">
        <f t="shared" si="6"/>
        <v>-1108000</v>
      </c>
      <c r="H54" s="102">
        <f t="shared" si="6"/>
        <v>-1108000</v>
      </c>
      <c r="I54" s="38">
        <f t="shared" si="6"/>
        <v>-1023000</v>
      </c>
      <c r="J54" s="2">
        <v>-1023000</v>
      </c>
      <c r="K54" s="178">
        <f t="shared" si="4"/>
        <v>0</v>
      </c>
      <c r="L54" s="40"/>
      <c r="M54" s="40"/>
    </row>
    <row r="55" spans="3:13" ht="15.75" thickBot="1">
      <c r="D55" s="28">
        <f t="shared" ref="D55:I55" si="7">SUM(D50:D54)</f>
        <v>-40385994.769999996</v>
      </c>
      <c r="E55" s="28">
        <f t="shared" si="7"/>
        <v>-59877391.609999999</v>
      </c>
      <c r="F55" s="259">
        <f t="shared" si="7"/>
        <v>-82649000</v>
      </c>
      <c r="G55" s="259">
        <f t="shared" si="7"/>
        <v>-84163000</v>
      </c>
      <c r="H55" s="259">
        <f t="shared" si="7"/>
        <v>-84163000</v>
      </c>
      <c r="I55" s="63">
        <f t="shared" si="7"/>
        <v>-83002000</v>
      </c>
      <c r="K55" s="178"/>
      <c r="L55" s="41"/>
      <c r="M55" s="41"/>
    </row>
    <row r="56" spans="3:13" ht="15.75" thickTop="1">
      <c r="D56" s="27"/>
      <c r="E56" s="27"/>
      <c r="F56" s="102"/>
      <c r="G56" s="159"/>
      <c r="H56" s="159"/>
      <c r="K56" s="178">
        <f t="shared" si="4"/>
        <v>0</v>
      </c>
      <c r="L56" s="40"/>
      <c r="M56" s="40"/>
    </row>
    <row r="57" spans="3:13">
      <c r="C57" t="s">
        <v>147</v>
      </c>
      <c r="D57" s="32">
        <f>D9+D20+D25+D27+D34+D38</f>
        <v>-25243400.369999997</v>
      </c>
      <c r="E57" s="27">
        <f>E9+E20+E25+E27+E34+E38</f>
        <v>-19407000</v>
      </c>
      <c r="F57" s="102">
        <f>F9+F20+F25+F27+F34+F38</f>
        <v>-26572000.09</v>
      </c>
      <c r="G57" s="102">
        <f>G9+G16+G20+G25+G27+G34+G38</f>
        <v>-24633000</v>
      </c>
      <c r="H57" s="102">
        <f>H9+H16+H20+H25+H27+H34+H38</f>
        <v>-24633000</v>
      </c>
      <c r="I57" s="38">
        <f>I9+I16+I20+I25+I27+I34+I38</f>
        <v>-24218000</v>
      </c>
      <c r="J57" s="2">
        <v>-24218000</v>
      </c>
      <c r="K57" s="178">
        <f t="shared" si="4"/>
        <v>0</v>
      </c>
      <c r="L57" s="40"/>
      <c r="M57" s="40"/>
    </row>
    <row r="58" spans="3:13">
      <c r="C58" t="s">
        <v>300</v>
      </c>
      <c r="D58" s="27">
        <f>D14</f>
        <v>-5000000</v>
      </c>
      <c r="E58" s="27">
        <f>E14</f>
        <v>0</v>
      </c>
      <c r="F58" s="102">
        <v>0</v>
      </c>
      <c r="G58" s="159"/>
      <c r="H58" s="102">
        <f>G58</f>
        <v>0</v>
      </c>
      <c r="I58" s="38">
        <f>H58</f>
        <v>0</v>
      </c>
      <c r="K58" s="178">
        <f t="shared" si="4"/>
        <v>0</v>
      </c>
      <c r="L58" s="40"/>
      <c r="M58" s="40"/>
    </row>
    <row r="59" spans="3:13">
      <c r="C59" t="s">
        <v>569</v>
      </c>
      <c r="D59" s="27">
        <f t="shared" ref="D59:I59" si="8">D31</f>
        <v>-5300000</v>
      </c>
      <c r="E59" s="27">
        <f t="shared" si="8"/>
        <v>-4300000</v>
      </c>
      <c r="F59" s="102">
        <f t="shared" si="8"/>
        <v>-5300000</v>
      </c>
      <c r="G59" s="102">
        <f t="shared" si="8"/>
        <v>-3240000</v>
      </c>
      <c r="H59" s="102">
        <f t="shared" si="8"/>
        <v>-3240000</v>
      </c>
      <c r="I59" s="38">
        <f t="shared" si="8"/>
        <v>0</v>
      </c>
      <c r="J59" s="30">
        <v>0</v>
      </c>
      <c r="K59" s="178">
        <f t="shared" si="4"/>
        <v>0</v>
      </c>
      <c r="L59" s="40"/>
      <c r="M59" s="40"/>
    </row>
    <row r="60" spans="3:13">
      <c r="C60" t="s">
        <v>564</v>
      </c>
      <c r="D60" s="27">
        <f>D29</f>
        <v>0</v>
      </c>
      <c r="E60" s="27">
        <f>E29</f>
        <v>-1000000</v>
      </c>
      <c r="F60" s="102">
        <v>0</v>
      </c>
      <c r="G60" s="159"/>
      <c r="H60" s="102">
        <f>G60</f>
        <v>0</v>
      </c>
      <c r="I60" s="38">
        <f>H60</f>
        <v>0</v>
      </c>
      <c r="K60" s="178">
        <f t="shared" si="4"/>
        <v>0</v>
      </c>
      <c r="L60" s="40"/>
      <c r="M60" s="40"/>
    </row>
    <row r="61" spans="3:13">
      <c r="C61" t="s">
        <v>608</v>
      </c>
      <c r="D61" s="27">
        <f t="shared" ref="D61:I61" si="9">D35+D39</f>
        <v>-20000000</v>
      </c>
      <c r="E61" s="27">
        <f t="shared" si="9"/>
        <v>0</v>
      </c>
      <c r="F61" s="102">
        <f t="shared" si="9"/>
        <v>-20000000</v>
      </c>
      <c r="G61" s="102">
        <f t="shared" si="9"/>
        <v>-30000000</v>
      </c>
      <c r="H61" s="102">
        <f t="shared" si="9"/>
        <v>-30000000</v>
      </c>
      <c r="I61" s="38">
        <f t="shared" si="9"/>
        <v>-40000000</v>
      </c>
      <c r="J61" s="2">
        <v>-40000000</v>
      </c>
      <c r="K61" s="178">
        <f t="shared" si="4"/>
        <v>0</v>
      </c>
      <c r="L61" s="40"/>
      <c r="M61" s="40"/>
    </row>
    <row r="62" spans="3:13">
      <c r="C62" t="s">
        <v>1027</v>
      </c>
      <c r="F62" s="159"/>
      <c r="G62" s="102">
        <f>G32</f>
        <v>-4900000</v>
      </c>
      <c r="H62" s="102">
        <f>H32</f>
        <v>-4900000</v>
      </c>
      <c r="I62" s="38">
        <v>0</v>
      </c>
      <c r="K62" s="178">
        <f t="shared" si="4"/>
        <v>0</v>
      </c>
      <c r="L62" s="42"/>
      <c r="M62" s="42"/>
    </row>
    <row r="63" spans="3:13" ht="15.75" thickBot="1">
      <c r="D63" s="28">
        <f>SUM(D57:D61)</f>
        <v>-55543400.369999997</v>
      </c>
      <c r="E63" s="28">
        <f>SUM(E57:E61)</f>
        <v>-24707000</v>
      </c>
      <c r="F63" s="259">
        <f>SUM(F57:F61)</f>
        <v>-51872000.090000004</v>
      </c>
      <c r="G63" s="259">
        <f>SUM(G57:G62)</f>
        <v>-62773000</v>
      </c>
      <c r="H63" s="259">
        <f>SUM(H57:H62)</f>
        <v>-62773000</v>
      </c>
      <c r="I63" s="63">
        <f>SUM(I57:I62)</f>
        <v>-64218000</v>
      </c>
      <c r="K63" s="41"/>
      <c r="L63" s="41"/>
      <c r="M63" s="41"/>
    </row>
    <row r="64" spans="3:13" ht="15.75" thickTop="1">
      <c r="F64" s="159"/>
      <c r="G64" s="159"/>
      <c r="H64" s="159"/>
    </row>
    <row r="65" spans="4:10">
      <c r="F65" s="159"/>
      <c r="G65" s="159"/>
      <c r="H65" s="159"/>
    </row>
    <row r="66" spans="4:10">
      <c r="D66" s="27">
        <f t="shared" ref="D66:I66" si="10">D55+D63</f>
        <v>-95929395.139999986</v>
      </c>
      <c r="E66" s="27">
        <f t="shared" si="10"/>
        <v>-84584391.609999999</v>
      </c>
      <c r="F66" s="102">
        <f t="shared" si="10"/>
        <v>-134521000.09</v>
      </c>
      <c r="G66" s="102">
        <f t="shared" si="10"/>
        <v>-146936000</v>
      </c>
      <c r="H66" s="102">
        <f t="shared" si="10"/>
        <v>-146936000</v>
      </c>
      <c r="I66" s="38">
        <f t="shared" si="10"/>
        <v>-147220000</v>
      </c>
      <c r="J66" s="27">
        <f>SUM(J50:J62)</f>
        <v>-147220000</v>
      </c>
    </row>
    <row r="67" spans="4:10">
      <c r="F67" s="159"/>
      <c r="G67" s="159"/>
      <c r="H67" s="159"/>
    </row>
    <row r="68" spans="4:10">
      <c r="F68" s="159"/>
      <c r="G68" s="159"/>
      <c r="H68" s="159"/>
      <c r="I68" s="27">
        <f>J66-146936000</f>
        <v>-294156000</v>
      </c>
    </row>
    <row r="69" spans="4:10">
      <c r="F69" s="159"/>
      <c r="G69" s="159"/>
      <c r="H69" s="159"/>
    </row>
    <row r="70" spans="4:10">
      <c r="F70" s="159"/>
      <c r="G70" s="159"/>
      <c r="H70" s="159"/>
    </row>
    <row r="71" spans="4:10">
      <c r="F71" s="159"/>
      <c r="G71" s="159"/>
      <c r="H71" s="159"/>
    </row>
    <row r="72" spans="4:10">
      <c r="F72" s="159"/>
      <c r="G72" s="159"/>
      <c r="H72" s="159"/>
    </row>
    <row r="73" spans="4:10">
      <c r="F73" s="159"/>
      <c r="G73" s="159"/>
      <c r="H73" s="159"/>
    </row>
    <row r="74" spans="4:10">
      <c r="F74" s="159"/>
      <c r="G74" s="159"/>
      <c r="H74" s="159"/>
    </row>
    <row r="75" spans="4:10">
      <c r="F75" s="159"/>
      <c r="G75" s="159"/>
      <c r="H75" s="159"/>
    </row>
    <row r="76" spans="4:10">
      <c r="F76" s="159"/>
      <c r="G76" s="159"/>
      <c r="H76" s="159"/>
    </row>
    <row r="77" spans="4:10">
      <c r="F77" s="159"/>
      <c r="G77" s="159"/>
      <c r="H77" s="159"/>
    </row>
    <row r="78" spans="4:10">
      <c r="F78" s="159"/>
      <c r="G78" s="159"/>
      <c r="H78" s="159"/>
    </row>
    <row r="79" spans="4:10">
      <c r="F79" s="159"/>
      <c r="G79" s="159"/>
      <c r="H79" s="159"/>
    </row>
    <row r="80" spans="4:10">
      <c r="F80" s="159"/>
      <c r="G80" s="159"/>
      <c r="H80" s="159"/>
    </row>
    <row r="81" spans="6:8">
      <c r="F81" s="159"/>
      <c r="G81" s="159"/>
      <c r="H81" s="159"/>
    </row>
    <row r="82" spans="6:8">
      <c r="F82" s="159"/>
      <c r="G82" s="159"/>
      <c r="H82" s="159"/>
    </row>
    <row r="83" spans="6:8">
      <c r="F83" s="159"/>
      <c r="G83" s="159"/>
      <c r="H83" s="159"/>
    </row>
    <row r="84" spans="6:8">
      <c r="F84" s="159"/>
      <c r="G84" s="159"/>
      <c r="H84" s="159"/>
    </row>
    <row r="85" spans="6:8">
      <c r="F85" s="159"/>
      <c r="G85" s="159"/>
      <c r="H85" s="159"/>
    </row>
    <row r="135" spans="4:4">
      <c r="D135">
        <f ca="1">GRANTS!1:1048576</f>
        <v>0</v>
      </c>
    </row>
  </sheetData>
  <autoFilter ref="C1:C135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activeCell="J14" sqref="J14"/>
    </sheetView>
  </sheetViews>
  <sheetFormatPr defaultRowHeight="15"/>
  <cols>
    <col min="2" max="2" width="5.140625" bestFit="1" customWidth="1"/>
    <col min="3" max="3" width="25.5703125" bestFit="1" customWidth="1"/>
    <col min="4" max="4" width="26" bestFit="1" customWidth="1"/>
    <col min="5" max="5" width="24" hidden="1" customWidth="1"/>
    <col min="6" max="6" width="19.7109375" bestFit="1" customWidth="1"/>
    <col min="7" max="7" width="20.7109375" hidden="1" customWidth="1"/>
    <col min="8" max="8" width="26" style="27" bestFit="1" customWidth="1"/>
    <col min="9" max="9" width="26" style="27" customWidth="1"/>
    <col min="10" max="10" width="26" bestFit="1" customWidth="1"/>
    <col min="11" max="11" width="12.28515625" bestFit="1" customWidth="1"/>
  </cols>
  <sheetData>
    <row r="1" spans="1:11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27"/>
    </row>
    <row r="2" spans="1:11" s="1" customFormat="1">
      <c r="A2" s="173" t="s">
        <v>4</v>
      </c>
      <c r="B2" s="174" t="s">
        <v>5</v>
      </c>
      <c r="C2" s="175" t="s">
        <v>6</v>
      </c>
      <c r="D2" s="176" t="s">
        <v>916</v>
      </c>
      <c r="E2" s="177" t="s">
        <v>920</v>
      </c>
      <c r="F2" s="176" t="s">
        <v>1102</v>
      </c>
      <c r="G2" s="176" t="s">
        <v>1104</v>
      </c>
      <c r="H2" s="176" t="s">
        <v>1103</v>
      </c>
      <c r="I2" s="176" t="s">
        <v>1118</v>
      </c>
      <c r="J2" s="176" t="s">
        <v>1123</v>
      </c>
      <c r="K2" s="44"/>
    </row>
    <row r="3" spans="1:11">
      <c r="A3" s="13">
        <v>244</v>
      </c>
      <c r="B3" s="13">
        <v>8855</v>
      </c>
      <c r="C3" s="13" t="s">
        <v>232</v>
      </c>
      <c r="D3" s="104">
        <v>-40000</v>
      </c>
      <c r="E3" s="104">
        <v>-22645.759999999998</v>
      </c>
      <c r="F3" s="104">
        <v>-36000</v>
      </c>
      <c r="G3" s="104">
        <v>-21195.81</v>
      </c>
      <c r="H3" s="104">
        <f>H16-40000</f>
        <v>-40000</v>
      </c>
      <c r="I3" s="235">
        <v>-23153.53</v>
      </c>
      <c r="J3" s="80">
        <f>CORPORATE!J71</f>
        <v>-42073.275714285701</v>
      </c>
      <c r="K3" s="27">
        <f>+I3/7*12</f>
        <v>-39691.765714285713</v>
      </c>
    </row>
    <row r="4" spans="1:11">
      <c r="A4" s="13">
        <v>244</v>
      </c>
      <c r="B4" s="13">
        <v>8864</v>
      </c>
      <c r="C4" s="13" t="s">
        <v>234</v>
      </c>
      <c r="D4" s="104">
        <v>-346000</v>
      </c>
      <c r="E4" s="104">
        <v>-192863.08</v>
      </c>
      <c r="F4" s="104">
        <v>-337510.39</v>
      </c>
      <c r="G4" s="104">
        <v>-112285.02</v>
      </c>
      <c r="H4" s="104">
        <v>-300000</v>
      </c>
      <c r="I4" s="235">
        <v>-146642.67000000001</v>
      </c>
      <c r="J4" s="80">
        <f>CORPORATE!J72</f>
        <v>-266470.684285714</v>
      </c>
      <c r="K4" s="27">
        <f>+I4/7*12</f>
        <v>-251387.43428571432</v>
      </c>
    </row>
    <row r="5" spans="1:11">
      <c r="A5" s="13">
        <v>244</v>
      </c>
      <c r="B5" s="13">
        <v>8881</v>
      </c>
      <c r="C5" s="13" t="s">
        <v>238</v>
      </c>
      <c r="D5" s="104">
        <v>-5000</v>
      </c>
      <c r="E5" s="104">
        <v>-2894.76</v>
      </c>
      <c r="F5" s="104">
        <v>-4400</v>
      </c>
      <c r="G5" s="104">
        <v>-765.62</v>
      </c>
      <c r="H5" s="104">
        <v>-4400</v>
      </c>
      <c r="I5" s="235">
        <v>-765.62</v>
      </c>
      <c r="J5" s="80">
        <f>CORPORATE!J74</f>
        <v>-1391.2414285714301</v>
      </c>
      <c r="K5" s="27">
        <f>+I5/7*12</f>
        <v>-1312.4914285714285</v>
      </c>
    </row>
    <row r="6" spans="1:11">
      <c r="A6" s="13">
        <v>245</v>
      </c>
      <c r="B6" s="13">
        <v>8855</v>
      </c>
      <c r="C6" s="13" t="s">
        <v>232</v>
      </c>
      <c r="D6" s="104">
        <v>0</v>
      </c>
      <c r="E6" s="104">
        <v>-6192.52</v>
      </c>
      <c r="F6" s="104">
        <v>-25000</v>
      </c>
      <c r="G6" s="104">
        <v>-2842.76</v>
      </c>
      <c r="H6" s="104">
        <v>-10000</v>
      </c>
      <c r="I6" s="235">
        <v>-2842.76</v>
      </c>
      <c r="J6" s="80">
        <f>'COMMUNITY SERVICES'!J173</f>
        <v>-5165.70285714286</v>
      </c>
      <c r="K6" s="27">
        <f>+I6/7*12</f>
        <v>-4873.3028571428576</v>
      </c>
    </row>
    <row r="7" spans="1:11">
      <c r="A7" s="13">
        <v>262</v>
      </c>
      <c r="B7" s="13">
        <v>8860</v>
      </c>
      <c r="C7" s="13" t="s">
        <v>301</v>
      </c>
      <c r="D7" s="104">
        <v>-12000</v>
      </c>
      <c r="E7" s="104">
        <v>-3970.09</v>
      </c>
      <c r="F7" s="104">
        <v>-6000</v>
      </c>
      <c r="G7" s="104">
        <v>-6196.26</v>
      </c>
      <c r="H7" s="104">
        <v>-12500</v>
      </c>
      <c r="I7" s="235">
        <v>-6196.26</v>
      </c>
      <c r="J7" s="80">
        <f>'COMMUNITY SERVICES'!J227</f>
        <v>-11259.49</v>
      </c>
      <c r="K7" s="27">
        <f>+I7/7*12</f>
        <v>-10622.16</v>
      </c>
    </row>
    <row r="8" spans="1:11" ht="15.75" thickBot="1">
      <c r="D8" s="62">
        <f t="shared" ref="D8:J8" si="0">SUM(D3:D7)</f>
        <v>-403000</v>
      </c>
      <c r="E8" s="62">
        <f t="shared" si="0"/>
        <v>-228566.21</v>
      </c>
      <c r="F8" s="62">
        <f t="shared" si="0"/>
        <v>-408910.39</v>
      </c>
      <c r="G8" s="62">
        <f t="shared" si="0"/>
        <v>-143285.47000000003</v>
      </c>
      <c r="H8" s="62">
        <f t="shared" si="0"/>
        <v>-366900</v>
      </c>
      <c r="I8" s="62">
        <f>SUM(I3:I7)</f>
        <v>-179600.84000000003</v>
      </c>
      <c r="J8" s="62">
        <f t="shared" si="0"/>
        <v>-326360.39428571396</v>
      </c>
    </row>
    <row r="9" spans="1:11" ht="15.75" thickTop="1"/>
  </sheetData>
  <pageMargins left="0.7" right="0.7" top="0.75" bottom="0.75" header="0.3" footer="0.3"/>
  <pageSetup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8" workbookViewId="0">
      <selection activeCell="C37" sqref="C37"/>
    </sheetView>
  </sheetViews>
  <sheetFormatPr defaultRowHeight="15"/>
  <cols>
    <col min="1" max="1" width="11.5703125" bestFit="1" customWidth="1"/>
    <col min="3" max="3" width="15" style="2" bestFit="1" customWidth="1"/>
  </cols>
  <sheetData>
    <row r="1" spans="1:3" hidden="1"/>
    <row r="2" spans="1:3" hidden="1"/>
    <row r="3" spans="1:3" hidden="1">
      <c r="A3" t="s">
        <v>1087</v>
      </c>
      <c r="C3" s="2">
        <v>10400000</v>
      </c>
    </row>
    <row r="4" spans="1:3" hidden="1">
      <c r="A4" t="s">
        <v>1088</v>
      </c>
      <c r="C4" s="2">
        <v>9400000</v>
      </c>
    </row>
    <row r="5" spans="1:3" hidden="1">
      <c r="A5" t="s">
        <v>1089</v>
      </c>
      <c r="C5" s="2">
        <v>7500000</v>
      </c>
    </row>
    <row r="6" spans="1:3" hidden="1">
      <c r="A6" t="s">
        <v>1090</v>
      </c>
      <c r="C6" s="2">
        <v>4800000</v>
      </c>
    </row>
    <row r="7" spans="1:3" hidden="1">
      <c r="A7" t="s">
        <v>1091</v>
      </c>
      <c r="C7" s="2">
        <v>7400000</v>
      </c>
    </row>
    <row r="8" spans="1:3" hidden="1">
      <c r="A8" t="s">
        <v>1092</v>
      </c>
      <c r="C8" s="2">
        <v>4800000</v>
      </c>
    </row>
    <row r="9" spans="1:3" hidden="1">
      <c r="A9" t="s">
        <v>1081</v>
      </c>
      <c r="C9" s="2">
        <v>4700000</v>
      </c>
    </row>
    <row r="10" spans="1:3" hidden="1">
      <c r="A10" t="s">
        <v>1082</v>
      </c>
      <c r="C10" s="2">
        <v>5000000</v>
      </c>
    </row>
    <row r="11" spans="1:3" hidden="1">
      <c r="A11" t="s">
        <v>1083</v>
      </c>
      <c r="C11" s="2">
        <v>6200000</v>
      </c>
    </row>
    <row r="12" spans="1:3" hidden="1">
      <c r="A12" t="s">
        <v>1084</v>
      </c>
      <c r="C12" s="2">
        <v>5500000</v>
      </c>
    </row>
    <row r="13" spans="1:3" hidden="1">
      <c r="A13" t="s">
        <v>1085</v>
      </c>
      <c r="C13" s="2">
        <v>4800000</v>
      </c>
    </row>
    <row r="14" spans="1:3" hidden="1">
      <c r="A14" t="s">
        <v>1086</v>
      </c>
      <c r="C14" s="2">
        <v>5200000</v>
      </c>
    </row>
    <row r="15" spans="1:3" hidden="1">
      <c r="C15" s="58">
        <f>SUM(C3:C14)</f>
        <v>75700000</v>
      </c>
    </row>
    <row r="16" spans="1:3" hidden="1"/>
    <row r="17" spans="1:3" hidden="1"/>
    <row r="19" spans="1:3" ht="15.75" thickBot="1">
      <c r="A19" s="57" t="s">
        <v>1093</v>
      </c>
      <c r="B19" s="57"/>
      <c r="C19" s="29"/>
    </row>
    <row r="20" spans="1:3" ht="15.75" thickTop="1"/>
    <row r="21" spans="1:3">
      <c r="A21" t="s">
        <v>1087</v>
      </c>
      <c r="C21" s="2">
        <v>5000000</v>
      </c>
    </row>
    <row r="22" spans="1:3">
      <c r="A22" t="s">
        <v>1088</v>
      </c>
      <c r="C22" s="2">
        <v>3000000</v>
      </c>
    </row>
    <row r="23" spans="1:3">
      <c r="A23" t="s">
        <v>1089</v>
      </c>
      <c r="C23" s="2">
        <v>1500000</v>
      </c>
    </row>
    <row r="24" spans="1:3">
      <c r="A24" t="s">
        <v>1090</v>
      </c>
      <c r="C24" s="2">
        <v>1500000</v>
      </c>
    </row>
    <row r="25" spans="1:3">
      <c r="A25" t="s">
        <v>1091</v>
      </c>
      <c r="C25" s="2">
        <v>4000000</v>
      </c>
    </row>
    <row r="26" spans="1:3">
      <c r="A26" t="s">
        <v>1092</v>
      </c>
      <c r="C26" s="2">
        <v>1500000</v>
      </c>
    </row>
    <row r="27" spans="1:3">
      <c r="A27" t="s">
        <v>1081</v>
      </c>
      <c r="C27" s="2">
        <v>1500000</v>
      </c>
    </row>
    <row r="28" spans="1:3">
      <c r="A28" t="s">
        <v>1082</v>
      </c>
      <c r="C28" s="2">
        <v>1500000</v>
      </c>
    </row>
    <row r="29" spans="1:3">
      <c r="A29" t="s">
        <v>1083</v>
      </c>
      <c r="C29" s="2">
        <v>3000000</v>
      </c>
    </row>
    <row r="30" spans="1:3">
      <c r="A30" t="s">
        <v>1084</v>
      </c>
      <c r="C30" s="2">
        <v>2000000</v>
      </c>
    </row>
    <row r="31" spans="1:3">
      <c r="A31" t="s">
        <v>1085</v>
      </c>
      <c r="C31" s="2">
        <v>1500000</v>
      </c>
    </row>
    <row r="32" spans="1:3" ht="409.6">
      <c r="A32" t="s">
        <v>1086</v>
      </c>
      <c r="C32" s="2">
        <v>1500000</v>
      </c>
    </row>
    <row r="33" spans="3:3" ht="409.6">
      <c r="C33" s="58">
        <f>SUM(C21:C32)</f>
        <v>27500000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J14" sqref="J14"/>
    </sheetView>
  </sheetViews>
  <sheetFormatPr defaultRowHeight="15"/>
  <cols>
    <col min="3" max="3" width="24.42578125" bestFit="1" customWidth="1"/>
    <col min="4" max="4" width="15.5703125" style="27" bestFit="1" customWidth="1"/>
    <col min="5" max="5" width="19.7109375" style="27" hidden="1" customWidth="1"/>
    <col min="6" max="6" width="20.5703125" bestFit="1" customWidth="1"/>
    <col min="7" max="7" width="20.7109375" hidden="1" customWidth="1"/>
    <col min="8" max="10" width="26" bestFit="1" customWidth="1"/>
    <col min="11" max="11" width="14.140625" style="27" bestFit="1" customWidth="1"/>
  </cols>
  <sheetData>
    <row r="1" spans="1:11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</row>
    <row r="2" spans="1:11" s="1" customFormat="1" ht="15.75" thickBot="1">
      <c r="A2" s="151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152" t="s">
        <v>1123</v>
      </c>
      <c r="K2" s="44"/>
    </row>
    <row r="3" spans="1:11">
      <c r="A3">
        <v>290</v>
      </c>
      <c r="B3">
        <v>165</v>
      </c>
      <c r="C3" t="s">
        <v>540</v>
      </c>
      <c r="D3" s="102">
        <v>36223000</v>
      </c>
      <c r="E3" s="102">
        <v>25629345.960000001</v>
      </c>
      <c r="F3" s="102">
        <v>43134189.25</v>
      </c>
      <c r="G3" s="102">
        <v>16266894.789999999</v>
      </c>
      <c r="H3" s="102">
        <v>38183983</v>
      </c>
      <c r="I3" s="239">
        <v>21491233.620000001</v>
      </c>
      <c r="J3" s="27">
        <f>TECHNICAL!J85</f>
        <v>45000000</v>
      </c>
      <c r="K3" s="27">
        <f>I3/7*12</f>
        <v>36842114.77714286</v>
      </c>
    </row>
    <row r="4" spans="1:11">
      <c r="A4">
        <v>293</v>
      </c>
      <c r="B4">
        <v>257</v>
      </c>
      <c r="C4" t="s">
        <v>642</v>
      </c>
      <c r="D4" s="102">
        <v>3500000</v>
      </c>
      <c r="E4" s="102">
        <v>4804648.13</v>
      </c>
      <c r="F4" s="102">
        <v>7300000</v>
      </c>
      <c r="G4" s="102">
        <v>566650.55000000005</v>
      </c>
      <c r="H4" s="102">
        <v>850000</v>
      </c>
      <c r="I4" s="239">
        <v>566650.55000000005</v>
      </c>
      <c r="J4" s="27">
        <f>TECHNICAL!J214</f>
        <v>971400.94285714289</v>
      </c>
      <c r="K4" s="27">
        <f>I4/7*12</f>
        <v>971400.94285714289</v>
      </c>
    </row>
    <row r="5" spans="1:11" ht="15.75" thickBot="1">
      <c r="D5" s="28">
        <f t="shared" ref="D5:J5" si="0">SUM(D3:D4)</f>
        <v>39723000</v>
      </c>
      <c r="E5" s="28">
        <f t="shared" si="0"/>
        <v>30433994.09</v>
      </c>
      <c r="F5" s="63">
        <f t="shared" si="0"/>
        <v>50434189.25</v>
      </c>
      <c r="G5" s="63">
        <f t="shared" si="0"/>
        <v>16833545.34</v>
      </c>
      <c r="H5" s="63">
        <f t="shared" si="0"/>
        <v>39033983</v>
      </c>
      <c r="I5" s="63">
        <f t="shared" si="0"/>
        <v>22057884.170000002</v>
      </c>
      <c r="J5" s="63">
        <f t="shared" si="0"/>
        <v>45971400.942857146</v>
      </c>
    </row>
    <row r="6" spans="1:11" ht="15.75" thickTop="1"/>
  </sheetData>
  <pageMargins left="0.7" right="0.7" top="0.75" bottom="0.75" header="0.3" footer="0.3"/>
  <pageSetup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view="pageBreakPreview" zoomScale="60" zoomScaleNormal="100" workbookViewId="0">
      <selection activeCell="G23" sqref="G23"/>
    </sheetView>
  </sheetViews>
  <sheetFormatPr defaultRowHeight="15"/>
  <cols>
    <col min="1" max="1" width="64.42578125" customWidth="1"/>
    <col min="2" max="2" width="16.7109375" style="1" customWidth="1"/>
    <col min="3" max="3" width="14.7109375" style="6" hidden="1" customWidth="1"/>
    <col min="4" max="4" width="13.42578125" style="7" hidden="1" customWidth="1"/>
    <col min="5" max="5" width="13.42578125" style="207" hidden="1" customWidth="1"/>
    <col min="6" max="6" width="17.5703125" style="207" hidden="1" customWidth="1"/>
    <col min="7" max="7" width="17.85546875" style="207" customWidth="1"/>
    <col min="8" max="8" width="15.85546875" style="6" bestFit="1" customWidth="1"/>
    <col min="9" max="9" width="17.140625" style="6" customWidth="1"/>
    <col min="11" max="11" width="14.140625" bestFit="1" customWidth="1"/>
  </cols>
  <sheetData>
    <row r="1" spans="1:9" ht="15.75" thickBot="1">
      <c r="A1" s="1" t="s">
        <v>853</v>
      </c>
    </row>
    <row r="2" spans="1:9" s="323" customFormat="1" ht="16.5" thickBot="1">
      <c r="A2" s="322"/>
      <c r="B2" s="382" t="s">
        <v>854</v>
      </c>
      <c r="C2" s="382" t="s">
        <v>1135</v>
      </c>
      <c r="D2" s="384" t="s">
        <v>1136</v>
      </c>
      <c r="E2" s="386" t="s">
        <v>1137</v>
      </c>
      <c r="F2" s="386" t="s">
        <v>1103</v>
      </c>
      <c r="G2" s="386" t="s">
        <v>1123</v>
      </c>
      <c r="H2" s="380" t="s">
        <v>1138</v>
      </c>
      <c r="I2" s="380" t="s">
        <v>1139</v>
      </c>
    </row>
    <row r="3" spans="1:9">
      <c r="A3" s="8"/>
      <c r="B3" s="383"/>
      <c r="C3" s="383"/>
      <c r="D3" s="385"/>
      <c r="E3" s="387"/>
      <c r="F3" s="387"/>
      <c r="G3" s="387"/>
      <c r="H3" s="381"/>
      <c r="I3" s="381"/>
    </row>
    <row r="4" spans="1:9">
      <c r="A4" s="10" t="s">
        <v>855</v>
      </c>
      <c r="B4" s="324"/>
      <c r="C4" s="11">
        <f>SUM(C6:C9)</f>
        <v>1500000</v>
      </c>
      <c r="D4" s="12">
        <f>SUM(D6:D8)</f>
        <v>850000</v>
      </c>
      <c r="E4" s="212">
        <f>SUM(E6:E9)</f>
        <v>1224000</v>
      </c>
      <c r="F4" s="212">
        <f>SUM(F6:F9)</f>
        <v>1304000</v>
      </c>
      <c r="G4" s="212">
        <f>SUM(G5:G9)</f>
        <v>0</v>
      </c>
      <c r="H4" s="11">
        <f>SUM(H6:H9)</f>
        <v>0</v>
      </c>
      <c r="I4" s="11">
        <f>SUM(I6:I9)</f>
        <v>0</v>
      </c>
    </row>
    <row r="5" spans="1:9">
      <c r="A5" s="20"/>
      <c r="B5" s="325"/>
      <c r="C5" s="21"/>
      <c r="D5" s="25"/>
      <c r="E5" s="209"/>
      <c r="F5" s="255"/>
      <c r="G5" s="216"/>
      <c r="H5" s="21"/>
      <c r="I5" s="21"/>
    </row>
    <row r="6" spans="1:9">
      <c r="A6" s="13" t="s">
        <v>419</v>
      </c>
      <c r="B6" s="326" t="s">
        <v>857</v>
      </c>
      <c r="C6" s="14">
        <v>1000000</v>
      </c>
      <c r="D6" s="24">
        <v>750000</v>
      </c>
      <c r="E6" s="210">
        <f>800000+250000+104000</f>
        <v>1154000</v>
      </c>
      <c r="F6" s="19">
        <v>1154000</v>
      </c>
      <c r="G6" s="218">
        <v>0</v>
      </c>
      <c r="H6" s="14">
        <v>0</v>
      </c>
      <c r="I6" s="14">
        <v>0</v>
      </c>
    </row>
    <row r="7" spans="1:9">
      <c r="A7" s="13" t="s">
        <v>858</v>
      </c>
      <c r="B7" s="326" t="s">
        <v>857</v>
      </c>
      <c r="C7" s="14">
        <v>500000</v>
      </c>
      <c r="D7" s="24">
        <v>85000</v>
      </c>
      <c r="E7" s="210">
        <v>70000</v>
      </c>
      <c r="F7" s="19">
        <v>150000</v>
      </c>
      <c r="G7" s="218">
        <v>0</v>
      </c>
      <c r="H7" s="14">
        <v>0</v>
      </c>
      <c r="I7" s="14">
        <v>0</v>
      </c>
    </row>
    <row r="8" spans="1:9">
      <c r="A8" s="13" t="s">
        <v>859</v>
      </c>
      <c r="B8" s="326" t="s">
        <v>857</v>
      </c>
      <c r="C8" s="14">
        <v>0</v>
      </c>
      <c r="D8" s="24">
        <v>15000</v>
      </c>
      <c r="E8" s="210">
        <v>0</v>
      </c>
      <c r="F8" s="19"/>
      <c r="G8" s="218">
        <v>0</v>
      </c>
      <c r="H8" s="14"/>
      <c r="I8" s="14"/>
    </row>
    <row r="9" spans="1:9">
      <c r="A9" s="13"/>
      <c r="B9" s="326"/>
      <c r="C9" s="14"/>
      <c r="D9" s="24"/>
      <c r="E9" s="210"/>
      <c r="F9" s="19"/>
      <c r="G9" s="218"/>
      <c r="H9" s="14"/>
      <c r="I9" s="14"/>
    </row>
    <row r="10" spans="1:9" s="1" customFormat="1">
      <c r="A10" s="10" t="s">
        <v>860</v>
      </c>
      <c r="B10" s="327"/>
      <c r="C10" s="15">
        <f t="shared" ref="C10:I10" si="0">SUM(C13:C19)</f>
        <v>15268102</v>
      </c>
      <c r="D10" s="15">
        <f t="shared" si="0"/>
        <v>12031211</v>
      </c>
      <c r="E10" s="213">
        <f t="shared" si="0"/>
        <v>12309264.310000001</v>
      </c>
      <c r="F10" s="213">
        <f t="shared" si="0"/>
        <v>15780459.760000002</v>
      </c>
      <c r="G10" s="213">
        <f>SUM(G11:G19)</f>
        <v>3708286.7600000007</v>
      </c>
      <c r="H10" s="16">
        <f t="shared" si="0"/>
        <v>3754077.9699999997</v>
      </c>
      <c r="I10" s="16">
        <f t="shared" si="0"/>
        <v>2959190</v>
      </c>
    </row>
    <row r="11" spans="1:9" s="1" customFormat="1">
      <c r="A11" s="17"/>
      <c r="B11" s="326"/>
      <c r="C11" s="18"/>
      <c r="D11" s="24"/>
      <c r="E11" s="211"/>
      <c r="F11" s="257"/>
      <c r="G11" s="219"/>
      <c r="H11" s="18"/>
      <c r="I11" s="18"/>
    </row>
    <row r="12" spans="1:9" s="1" customFormat="1">
      <c r="A12" s="13" t="s">
        <v>468</v>
      </c>
      <c r="B12" s="326" t="s">
        <v>857</v>
      </c>
      <c r="C12" s="18"/>
      <c r="D12" s="24"/>
      <c r="E12" s="211"/>
      <c r="F12" s="257"/>
      <c r="G12" s="219">
        <v>0</v>
      </c>
      <c r="H12" s="18"/>
      <c r="I12" s="18"/>
    </row>
    <row r="13" spans="1:9">
      <c r="A13" s="13" t="s">
        <v>468</v>
      </c>
      <c r="B13" s="326" t="s">
        <v>856</v>
      </c>
      <c r="C13" s="14">
        <v>1614850</v>
      </c>
      <c r="D13" s="24">
        <v>1328600</v>
      </c>
      <c r="E13" s="210">
        <v>1231650</v>
      </c>
      <c r="F13" s="19">
        <v>1231650</v>
      </c>
      <c r="G13" s="218">
        <v>0</v>
      </c>
      <c r="H13" s="14">
        <v>0</v>
      </c>
      <c r="I13" s="14">
        <v>0</v>
      </c>
    </row>
    <row r="14" spans="1:9">
      <c r="A14" s="13" t="s">
        <v>861</v>
      </c>
      <c r="B14" s="326" t="s">
        <v>856</v>
      </c>
      <c r="C14" s="14">
        <v>1923996</v>
      </c>
      <c r="D14" s="24">
        <v>580676</v>
      </c>
      <c r="E14" s="210">
        <v>0</v>
      </c>
      <c r="F14" s="19">
        <v>4026169.73</v>
      </c>
      <c r="G14" s="218">
        <v>964112.96931499999</v>
      </c>
      <c r="H14" s="19">
        <v>1651017.84</v>
      </c>
      <c r="I14" s="19">
        <v>1789456</v>
      </c>
    </row>
    <row r="15" spans="1:9">
      <c r="A15" s="13" t="s">
        <v>862</v>
      </c>
      <c r="B15" s="326" t="s">
        <v>856</v>
      </c>
      <c r="C15" s="14">
        <v>11729256</v>
      </c>
      <c r="D15" s="24">
        <v>840241</v>
      </c>
      <c r="E15" s="210">
        <v>0</v>
      </c>
      <c r="F15" s="19">
        <v>81510.13</v>
      </c>
      <c r="G15" s="218"/>
      <c r="H15" s="19">
        <v>597715.94999999995</v>
      </c>
      <c r="I15" s="19">
        <v>600789</v>
      </c>
    </row>
    <row r="16" spans="1:9">
      <c r="A16" s="13" t="s">
        <v>863</v>
      </c>
      <c r="B16" s="326" t="s">
        <v>856</v>
      </c>
      <c r="C16" s="14">
        <v>0</v>
      </c>
      <c r="D16" s="24">
        <v>9281694</v>
      </c>
      <c r="E16" s="210">
        <v>11077614.310000001</v>
      </c>
      <c r="F16" s="19">
        <v>10441129.9</v>
      </c>
      <c r="G16" s="218">
        <v>1273020.2776010002</v>
      </c>
      <c r="H16" s="19">
        <v>1086344.18</v>
      </c>
      <c r="I16" s="19">
        <v>568945</v>
      </c>
    </row>
    <row r="17" spans="1:11">
      <c r="A17" s="13" t="s">
        <v>864</v>
      </c>
      <c r="B17" s="326" t="s">
        <v>856</v>
      </c>
      <c r="C17" s="14"/>
      <c r="D17" s="24"/>
      <c r="E17" s="210"/>
      <c r="F17" s="19"/>
      <c r="G17" s="218"/>
      <c r="H17" s="14"/>
      <c r="I17" s="14"/>
    </row>
    <row r="18" spans="1:11" ht="16.5">
      <c r="A18" s="311" t="s">
        <v>1130</v>
      </c>
      <c r="B18" s="326" t="s">
        <v>856</v>
      </c>
      <c r="C18" s="14"/>
      <c r="D18" s="24"/>
      <c r="E18" s="210"/>
      <c r="F18" s="19"/>
      <c r="G18" s="218">
        <v>1471153.5130840004</v>
      </c>
      <c r="H18" s="14">
        <v>419000</v>
      </c>
      <c r="I18" s="14"/>
    </row>
    <row r="19" spans="1:11">
      <c r="A19" s="13"/>
      <c r="B19" s="326"/>
      <c r="C19" s="14"/>
      <c r="D19" s="24"/>
      <c r="E19" s="210"/>
      <c r="F19" s="19"/>
      <c r="G19" s="218"/>
      <c r="H19" s="14"/>
      <c r="I19" s="14"/>
    </row>
    <row r="20" spans="1:11" s="1" customFormat="1">
      <c r="A20" s="10" t="s">
        <v>865</v>
      </c>
      <c r="B20" s="327"/>
      <c r="C20" s="15">
        <f t="shared" ref="C20:I20" si="1">SUM(C22:C28)</f>
        <v>1949350</v>
      </c>
      <c r="D20" s="15">
        <f t="shared" si="1"/>
        <v>3693941</v>
      </c>
      <c r="E20" s="213">
        <f t="shared" si="1"/>
        <v>15567151.569999998</v>
      </c>
      <c r="F20" s="213">
        <f t="shared" si="1"/>
        <v>10983371.289999999</v>
      </c>
      <c r="G20" s="213">
        <f>SUM(G21:G28)</f>
        <v>0</v>
      </c>
      <c r="H20" s="16">
        <f t="shared" si="1"/>
        <v>13250000</v>
      </c>
      <c r="I20" s="16">
        <f t="shared" si="1"/>
        <v>4049312</v>
      </c>
    </row>
    <row r="21" spans="1:11">
      <c r="A21" s="13"/>
      <c r="B21" s="326"/>
      <c r="C21" s="14"/>
      <c r="D21" s="24"/>
      <c r="E21" s="210"/>
      <c r="F21" s="19"/>
      <c r="G21" s="218"/>
      <c r="H21" s="14"/>
      <c r="I21" s="14"/>
    </row>
    <row r="22" spans="1:11">
      <c r="A22" s="13" t="s">
        <v>866</v>
      </c>
      <c r="B22" s="326" t="s">
        <v>856</v>
      </c>
      <c r="C22" s="14"/>
      <c r="D22" s="24">
        <v>0</v>
      </c>
      <c r="E22" s="210"/>
      <c r="F22" s="19"/>
      <c r="G22" s="218"/>
      <c r="H22" s="14"/>
      <c r="I22" s="14"/>
    </row>
    <row r="23" spans="1:11">
      <c r="A23" s="13" t="s">
        <v>867</v>
      </c>
      <c r="B23" s="326" t="s">
        <v>659</v>
      </c>
      <c r="C23" s="14">
        <v>1500000</v>
      </c>
      <c r="D23" s="24"/>
      <c r="E23" s="210">
        <v>10510442.539999999</v>
      </c>
      <c r="F23" s="19">
        <f>809632.59+2881544.14+1291914.8</f>
        <v>4983091.53</v>
      </c>
      <c r="G23" s="218">
        <v>0</v>
      </c>
      <c r="H23" s="14">
        <v>0</v>
      </c>
      <c r="I23" s="14">
        <v>2589456</v>
      </c>
    </row>
    <row r="24" spans="1:11">
      <c r="A24" s="13" t="s">
        <v>868</v>
      </c>
      <c r="B24" s="326" t="s">
        <v>856</v>
      </c>
      <c r="C24" s="14"/>
      <c r="D24" s="24"/>
      <c r="E24" s="210">
        <v>0</v>
      </c>
      <c r="F24" s="19"/>
      <c r="G24" s="218"/>
      <c r="H24" s="19">
        <v>13250000</v>
      </c>
      <c r="I24" s="19">
        <v>1459856</v>
      </c>
    </row>
    <row r="25" spans="1:11">
      <c r="A25" s="13" t="s">
        <v>869</v>
      </c>
      <c r="B25" s="326" t="s">
        <v>856</v>
      </c>
      <c r="C25" s="14">
        <v>449350</v>
      </c>
      <c r="D25" s="24">
        <v>3693941</v>
      </c>
      <c r="E25" s="210">
        <v>156709.03</v>
      </c>
      <c r="F25" s="19">
        <v>1100279.76</v>
      </c>
      <c r="G25" s="218"/>
      <c r="H25" s="19"/>
      <c r="I25" s="19">
        <v>0</v>
      </c>
    </row>
    <row r="26" spans="1:11">
      <c r="A26" s="13" t="s">
        <v>870</v>
      </c>
      <c r="B26" s="326"/>
      <c r="C26" s="14"/>
      <c r="D26" s="24"/>
      <c r="E26" s="210"/>
      <c r="F26" s="19"/>
      <c r="G26" s="218"/>
      <c r="H26" s="19"/>
      <c r="I26" s="19"/>
    </row>
    <row r="27" spans="1:11">
      <c r="A27" t="s">
        <v>983</v>
      </c>
      <c r="B27" s="328" t="s">
        <v>1026</v>
      </c>
      <c r="C27" s="14"/>
      <c r="D27" s="24"/>
      <c r="E27" s="210">
        <v>4900000</v>
      </c>
      <c r="F27" s="19">
        <v>4900000</v>
      </c>
      <c r="G27" s="218"/>
      <c r="H27" s="14">
        <v>0</v>
      </c>
      <c r="I27" s="14">
        <v>0</v>
      </c>
    </row>
    <row r="28" spans="1:11">
      <c r="A28" s="13"/>
      <c r="B28" s="326"/>
      <c r="C28" s="14"/>
      <c r="D28" s="24"/>
      <c r="E28" s="210"/>
      <c r="F28" s="19"/>
      <c r="G28" s="218"/>
      <c r="H28" s="14"/>
      <c r="I28" s="14"/>
    </row>
    <row r="29" spans="1:11" s="1" customFormat="1">
      <c r="A29" s="10" t="s">
        <v>663</v>
      </c>
      <c r="B29" s="327"/>
      <c r="C29" s="15">
        <f t="shared" ref="C29:I29" si="2">SUM(C30:C46)</f>
        <v>21810649</v>
      </c>
      <c r="D29" s="15">
        <f t="shared" si="2"/>
        <v>24613554</v>
      </c>
      <c r="E29" s="213">
        <f t="shared" si="2"/>
        <v>19489557.460000001</v>
      </c>
      <c r="F29" s="213">
        <f t="shared" si="2"/>
        <v>25558199</v>
      </c>
      <c r="G29" s="213">
        <f>SUM(G30:G46)</f>
        <v>21983840.309499998</v>
      </c>
      <c r="H29" s="16">
        <f t="shared" si="2"/>
        <v>1230000</v>
      </c>
      <c r="I29" s="16">
        <f t="shared" si="2"/>
        <v>11500000</v>
      </c>
      <c r="K29" s="44">
        <v>42095684.189999998</v>
      </c>
    </row>
    <row r="30" spans="1:11">
      <c r="A30" s="13" t="s">
        <v>871</v>
      </c>
      <c r="B30" s="326" t="s">
        <v>857</v>
      </c>
      <c r="C30" s="14">
        <v>0</v>
      </c>
      <c r="D30" s="24"/>
      <c r="E30" s="210">
        <v>0</v>
      </c>
      <c r="F30" s="19"/>
      <c r="G30" s="218"/>
      <c r="H30" s="14">
        <v>1230000</v>
      </c>
      <c r="I30" s="14">
        <v>1500000</v>
      </c>
    </row>
    <row r="31" spans="1:11">
      <c r="A31" s="13" t="s">
        <v>872</v>
      </c>
      <c r="B31" s="326" t="s">
        <v>659</v>
      </c>
      <c r="C31" s="14">
        <v>8000000</v>
      </c>
      <c r="D31" s="24">
        <v>3272778.81</v>
      </c>
      <c r="E31" s="210">
        <v>0</v>
      </c>
      <c r="F31" s="19"/>
      <c r="G31" s="218">
        <v>21983840.309499998</v>
      </c>
      <c r="H31" s="19"/>
      <c r="I31" s="19">
        <v>10000000</v>
      </c>
    </row>
    <row r="32" spans="1:11">
      <c r="A32" s="13" t="s">
        <v>873</v>
      </c>
      <c r="B32" s="326" t="s">
        <v>659</v>
      </c>
      <c r="C32" s="14">
        <v>4000000</v>
      </c>
      <c r="D32" s="24">
        <v>12145883.59</v>
      </c>
      <c r="E32" s="210">
        <v>16627392.460000001</v>
      </c>
      <c r="F32" s="19">
        <v>15477005.01</v>
      </c>
      <c r="G32" s="218">
        <v>0</v>
      </c>
      <c r="H32" s="19">
        <v>0</v>
      </c>
      <c r="I32" s="19">
        <v>0</v>
      </c>
    </row>
    <row r="33" spans="1:9">
      <c r="A33" s="13" t="s">
        <v>874</v>
      </c>
      <c r="B33" s="326" t="s">
        <v>659</v>
      </c>
      <c r="C33" s="14">
        <v>0</v>
      </c>
      <c r="D33" s="24"/>
      <c r="E33" s="210">
        <v>0</v>
      </c>
      <c r="F33" s="19"/>
      <c r="G33" s="218"/>
      <c r="H33" s="19">
        <v>0</v>
      </c>
      <c r="I33" s="19">
        <v>0</v>
      </c>
    </row>
    <row r="34" spans="1:9">
      <c r="A34" s="13" t="s">
        <v>875</v>
      </c>
      <c r="B34" s="326" t="s">
        <v>856</v>
      </c>
      <c r="C34" s="14">
        <v>500000</v>
      </c>
      <c r="D34" s="24"/>
      <c r="E34" s="210">
        <v>0</v>
      </c>
      <c r="F34" s="19"/>
      <c r="G34" s="218"/>
      <c r="H34" s="19">
        <v>0</v>
      </c>
      <c r="I34" s="19">
        <v>0</v>
      </c>
    </row>
    <row r="35" spans="1:9">
      <c r="A35" s="13" t="s">
        <v>876</v>
      </c>
      <c r="B35" s="326" t="s">
        <v>659</v>
      </c>
      <c r="C35" s="14">
        <v>7810649</v>
      </c>
      <c r="D35" s="24">
        <v>1581337.6000000001</v>
      </c>
      <c r="E35" s="210">
        <v>0</v>
      </c>
      <c r="F35" s="19"/>
      <c r="G35" s="218"/>
      <c r="H35" s="19">
        <v>0</v>
      </c>
      <c r="I35" s="19"/>
    </row>
    <row r="36" spans="1:9">
      <c r="A36" s="13" t="s">
        <v>876</v>
      </c>
      <c r="B36" s="326" t="s">
        <v>856</v>
      </c>
      <c r="C36" s="14">
        <v>0</v>
      </c>
      <c r="D36" s="24">
        <v>2817364</v>
      </c>
      <c r="E36" s="210">
        <v>0</v>
      </c>
      <c r="F36" s="19">
        <v>441744.2</v>
      </c>
      <c r="G36" s="218"/>
      <c r="H36" s="19">
        <v>0</v>
      </c>
      <c r="I36" s="19">
        <v>0</v>
      </c>
    </row>
    <row r="37" spans="1:9">
      <c r="A37" s="13" t="s">
        <v>877</v>
      </c>
      <c r="B37" s="326" t="s">
        <v>857</v>
      </c>
      <c r="C37" s="14">
        <v>1500000</v>
      </c>
      <c r="D37" s="24">
        <v>1000000</v>
      </c>
      <c r="E37" s="210">
        <v>0</v>
      </c>
      <c r="F37" s="19"/>
      <c r="G37" s="218"/>
      <c r="H37" s="19">
        <v>0</v>
      </c>
      <c r="I37" s="19">
        <v>0</v>
      </c>
    </row>
    <row r="38" spans="1:9">
      <c r="A38" s="13" t="s">
        <v>878</v>
      </c>
      <c r="B38" s="326" t="s">
        <v>856</v>
      </c>
      <c r="C38" s="14">
        <v>0</v>
      </c>
      <c r="D38" s="24">
        <v>796190</v>
      </c>
      <c r="E38" s="210"/>
      <c r="F38" s="19">
        <v>99546.33</v>
      </c>
      <c r="G38" s="218"/>
      <c r="H38" s="14"/>
      <c r="I38" s="14"/>
    </row>
    <row r="39" spans="1:9">
      <c r="A39" s="13" t="s">
        <v>879</v>
      </c>
      <c r="B39" s="326" t="s">
        <v>856</v>
      </c>
      <c r="C39" s="14">
        <v>0</v>
      </c>
      <c r="D39" s="24">
        <v>0</v>
      </c>
      <c r="E39" s="210"/>
      <c r="F39" s="19"/>
      <c r="G39" s="218"/>
      <c r="H39" s="14"/>
      <c r="I39" s="14"/>
    </row>
    <row r="40" spans="1:9">
      <c r="A40" s="13" t="s">
        <v>880</v>
      </c>
      <c r="B40" s="326" t="s">
        <v>856</v>
      </c>
      <c r="C40" s="14">
        <v>0</v>
      </c>
      <c r="D40" s="24">
        <v>0</v>
      </c>
      <c r="E40" s="210"/>
      <c r="F40" s="19"/>
      <c r="G40" s="218"/>
      <c r="H40" s="14"/>
      <c r="I40" s="14"/>
    </row>
    <row r="41" spans="1:9">
      <c r="A41" s="13" t="s">
        <v>881</v>
      </c>
      <c r="B41" s="326"/>
      <c r="C41" s="14">
        <v>0</v>
      </c>
      <c r="D41" s="24"/>
      <c r="E41" s="210"/>
      <c r="F41" s="19"/>
      <c r="G41" s="218"/>
      <c r="H41" s="14"/>
      <c r="I41" s="14"/>
    </row>
    <row r="42" spans="1:9">
      <c r="A42" s="13" t="s">
        <v>882</v>
      </c>
      <c r="B42" s="326" t="s">
        <v>857</v>
      </c>
      <c r="C42" s="14"/>
      <c r="D42" s="24"/>
      <c r="E42" s="210">
        <v>0</v>
      </c>
      <c r="F42" s="19"/>
      <c r="G42" s="218"/>
      <c r="H42" s="14"/>
      <c r="I42" s="14"/>
    </row>
    <row r="43" spans="1:9">
      <c r="A43" s="79" t="s">
        <v>883</v>
      </c>
      <c r="B43" s="326" t="s">
        <v>659</v>
      </c>
      <c r="C43" s="14">
        <v>0</v>
      </c>
      <c r="D43" s="24">
        <v>3000000</v>
      </c>
      <c r="E43" s="210">
        <v>2862165</v>
      </c>
      <c r="F43" s="19">
        <v>9539903.4600000009</v>
      </c>
      <c r="G43" s="218"/>
      <c r="H43" s="19">
        <v>0</v>
      </c>
      <c r="I43" s="19">
        <v>0</v>
      </c>
    </row>
    <row r="44" spans="1:9">
      <c r="A44" s="13" t="s">
        <v>884</v>
      </c>
      <c r="B44" s="326" t="s">
        <v>857</v>
      </c>
      <c r="C44" s="14">
        <v>0</v>
      </c>
      <c r="D44" s="24"/>
      <c r="E44" s="210"/>
      <c r="F44" s="19"/>
      <c r="G44" s="218"/>
      <c r="H44" s="14"/>
      <c r="I44" s="14"/>
    </row>
    <row r="45" spans="1:9">
      <c r="A45" s="13" t="s">
        <v>1126</v>
      </c>
      <c r="B45" s="326" t="s">
        <v>659</v>
      </c>
      <c r="C45" s="14"/>
      <c r="D45" s="24"/>
      <c r="E45" s="210"/>
      <c r="F45" s="19"/>
      <c r="G45" s="218">
        <v>0</v>
      </c>
      <c r="H45" s="14"/>
      <c r="I45" s="14"/>
    </row>
    <row r="46" spans="1:9">
      <c r="A46" s="13" t="s">
        <v>1129</v>
      </c>
      <c r="B46" s="326" t="s">
        <v>856</v>
      </c>
      <c r="C46" s="14"/>
      <c r="D46" s="24"/>
      <c r="E46" s="210"/>
      <c r="F46" s="19"/>
      <c r="G46" s="315">
        <v>0</v>
      </c>
      <c r="H46" s="14"/>
      <c r="I46" s="14"/>
    </row>
    <row r="47" spans="1:9" s="1" customFormat="1">
      <c r="A47" s="10" t="s">
        <v>577</v>
      </c>
      <c r="B47" s="327"/>
      <c r="C47" s="15">
        <f>SUM(C49:C60)</f>
        <v>5096000</v>
      </c>
      <c r="D47" s="15">
        <f>SUM(D49:D60)</f>
        <v>5650000</v>
      </c>
      <c r="E47" s="213">
        <f>SUM(E48:E60)</f>
        <v>3240000</v>
      </c>
      <c r="F47" s="213">
        <f>SUM(F48:F60)</f>
        <v>3240000</v>
      </c>
      <c r="G47" s="213">
        <f>SUM(G48:G60)</f>
        <v>0</v>
      </c>
      <c r="H47" s="16">
        <f>SUM(H49:H60)</f>
        <v>0</v>
      </c>
      <c r="I47" s="16">
        <f>SUM(I49:I60)</f>
        <v>0</v>
      </c>
    </row>
    <row r="48" spans="1:9">
      <c r="A48" s="13"/>
      <c r="B48" s="326"/>
      <c r="C48" s="14"/>
      <c r="D48" s="24"/>
      <c r="E48" s="210"/>
      <c r="F48" s="19"/>
      <c r="G48" s="218"/>
      <c r="H48" s="14"/>
      <c r="I48" s="14"/>
    </row>
    <row r="49" spans="1:9">
      <c r="A49" s="13" t="s">
        <v>886</v>
      </c>
      <c r="B49" s="326" t="s">
        <v>820</v>
      </c>
      <c r="C49" s="14">
        <v>5000000</v>
      </c>
      <c r="D49" s="220">
        <v>5300000</v>
      </c>
      <c r="E49" s="210">
        <v>3240000</v>
      </c>
      <c r="F49" s="19">
        <v>551000</v>
      </c>
      <c r="G49" s="218"/>
      <c r="H49" s="14">
        <v>0</v>
      </c>
      <c r="I49" s="14">
        <v>0</v>
      </c>
    </row>
    <row r="50" spans="1:9">
      <c r="A50" s="13" t="s">
        <v>1113</v>
      </c>
      <c r="B50" s="326" t="s">
        <v>820</v>
      </c>
      <c r="C50" s="14"/>
      <c r="D50" s="220"/>
      <c r="E50" s="210"/>
      <c r="F50" s="19">
        <v>2689000</v>
      </c>
      <c r="G50" s="218">
        <v>0</v>
      </c>
      <c r="H50" s="14"/>
      <c r="I50" s="14"/>
    </row>
    <row r="51" spans="1:9">
      <c r="A51" s="13" t="s">
        <v>887</v>
      </c>
      <c r="B51" s="326" t="s">
        <v>857</v>
      </c>
      <c r="C51" s="14">
        <v>0</v>
      </c>
      <c r="D51" s="24">
        <v>0</v>
      </c>
      <c r="E51" s="210"/>
      <c r="F51" s="19"/>
      <c r="G51" s="218"/>
      <c r="H51" s="14"/>
      <c r="I51" s="14"/>
    </row>
    <row r="52" spans="1:9">
      <c r="A52" s="13" t="s">
        <v>559</v>
      </c>
      <c r="B52" s="326" t="s">
        <v>857</v>
      </c>
      <c r="C52" s="14">
        <v>96000</v>
      </c>
      <c r="D52" s="24">
        <v>350000</v>
      </c>
      <c r="E52" s="210"/>
      <c r="F52" s="19"/>
      <c r="G52" s="218"/>
      <c r="H52" s="14"/>
      <c r="I52" s="14"/>
    </row>
    <row r="53" spans="1:9">
      <c r="A53" s="13" t="s">
        <v>888</v>
      </c>
      <c r="B53" s="326" t="s">
        <v>857</v>
      </c>
      <c r="C53" s="14">
        <v>0</v>
      </c>
      <c r="D53" s="24"/>
      <c r="E53" s="210">
        <v>0</v>
      </c>
      <c r="F53" s="19"/>
      <c r="G53" s="218"/>
      <c r="H53" s="14">
        <v>0</v>
      </c>
      <c r="I53" s="14">
        <v>0</v>
      </c>
    </row>
    <row r="54" spans="1:9">
      <c r="A54" s="13" t="s">
        <v>889</v>
      </c>
      <c r="B54" s="326" t="s">
        <v>857</v>
      </c>
      <c r="C54" s="14">
        <v>0</v>
      </c>
      <c r="D54" s="24"/>
      <c r="E54" s="210">
        <v>0</v>
      </c>
      <c r="F54" s="19"/>
      <c r="G54" s="218"/>
      <c r="H54" s="14">
        <v>0</v>
      </c>
      <c r="I54" s="14">
        <v>0</v>
      </c>
    </row>
    <row r="55" spans="1:9">
      <c r="A55" s="13" t="s">
        <v>890</v>
      </c>
      <c r="B55" s="326" t="s">
        <v>857</v>
      </c>
      <c r="C55" s="14">
        <v>0</v>
      </c>
      <c r="D55" s="24"/>
      <c r="E55" s="210">
        <v>0</v>
      </c>
      <c r="F55" s="19"/>
      <c r="G55" s="218"/>
      <c r="H55" s="14">
        <v>0</v>
      </c>
      <c r="I55" s="14">
        <v>0</v>
      </c>
    </row>
    <row r="56" spans="1:9">
      <c r="A56" s="13" t="s">
        <v>891</v>
      </c>
      <c r="B56" s="326" t="s">
        <v>857</v>
      </c>
      <c r="C56" s="14">
        <v>0</v>
      </c>
      <c r="D56" s="24"/>
      <c r="E56" s="210">
        <v>0</v>
      </c>
      <c r="F56" s="19"/>
      <c r="G56" s="218"/>
      <c r="H56" s="14">
        <v>0</v>
      </c>
      <c r="I56" s="14">
        <v>0</v>
      </c>
    </row>
    <row r="57" spans="1:9">
      <c r="A57" s="13"/>
      <c r="B57" s="326"/>
      <c r="C57" s="14"/>
      <c r="D57" s="24"/>
      <c r="E57" s="210"/>
      <c r="F57" s="19"/>
      <c r="G57" s="218"/>
      <c r="H57" s="14"/>
      <c r="I57" s="14"/>
    </row>
    <row r="58" spans="1:9">
      <c r="A58" s="13"/>
      <c r="B58" s="326"/>
      <c r="C58" s="14"/>
      <c r="D58" s="24"/>
      <c r="E58" s="210"/>
      <c r="F58" s="19"/>
      <c r="G58" s="218"/>
      <c r="H58" s="14"/>
      <c r="I58" s="14"/>
    </row>
    <row r="59" spans="1:9">
      <c r="A59" s="13"/>
      <c r="B59" s="326"/>
      <c r="C59" s="14"/>
      <c r="D59" s="24"/>
      <c r="E59" s="210"/>
      <c r="F59" s="19"/>
      <c r="G59" s="218"/>
      <c r="H59" s="14"/>
      <c r="I59" s="14"/>
    </row>
    <row r="60" spans="1:9">
      <c r="A60" s="13"/>
      <c r="B60" s="326"/>
      <c r="C60" s="14"/>
      <c r="D60" s="24"/>
      <c r="E60" s="210"/>
      <c r="F60" s="19"/>
      <c r="G60" s="218"/>
      <c r="H60" s="14"/>
      <c r="I60" s="14"/>
    </row>
    <row r="61" spans="1:9" s="1" customFormat="1">
      <c r="A61" s="10" t="s">
        <v>892</v>
      </c>
      <c r="B61" s="327"/>
      <c r="C61" s="15">
        <f>SUM(C63:C71)</f>
        <v>4134836</v>
      </c>
      <c r="D61" s="15">
        <f>SUM(D63:D71)</f>
        <v>1688667.1</v>
      </c>
      <c r="E61" s="213">
        <f>SUM(E62:E71)</f>
        <v>2773112.6100000003</v>
      </c>
      <c r="F61" s="213">
        <f>SUM(F62:F71)</f>
        <v>2773112.6100000003</v>
      </c>
      <c r="G61" s="213">
        <f>SUM(G62:G71)</f>
        <v>0</v>
      </c>
      <c r="H61" s="16">
        <f>SUM(H63:H71)</f>
        <v>0</v>
      </c>
      <c r="I61" s="16">
        <f>SUM(I63:I71)</f>
        <v>0</v>
      </c>
    </row>
    <row r="62" spans="1:9">
      <c r="A62" s="13"/>
      <c r="B62" s="326"/>
      <c r="C62" s="14"/>
      <c r="D62" s="24"/>
      <c r="E62" s="210"/>
      <c r="F62" s="19"/>
      <c r="G62" s="218"/>
      <c r="H62" s="14"/>
      <c r="I62" s="14"/>
    </row>
    <row r="63" spans="1:9">
      <c r="A63" s="13" t="s">
        <v>893</v>
      </c>
      <c r="B63" s="326" t="s">
        <v>856</v>
      </c>
      <c r="C63" s="14">
        <v>2039086</v>
      </c>
      <c r="D63" s="24">
        <v>262787</v>
      </c>
      <c r="E63" s="210">
        <v>73112.61</v>
      </c>
      <c r="F63" s="19">
        <v>73112.61</v>
      </c>
      <c r="G63" s="218"/>
      <c r="H63" s="19">
        <v>0</v>
      </c>
      <c r="I63" s="19">
        <v>0</v>
      </c>
    </row>
    <row r="64" spans="1:9">
      <c r="A64" s="13" t="s">
        <v>894</v>
      </c>
      <c r="B64" s="326" t="s">
        <v>856</v>
      </c>
      <c r="C64" s="14">
        <v>1595750</v>
      </c>
      <c r="D64" s="24">
        <v>948969</v>
      </c>
      <c r="E64" s="210"/>
      <c r="F64" s="19"/>
      <c r="G64" s="218">
        <v>0</v>
      </c>
      <c r="H64" s="19">
        <v>0</v>
      </c>
      <c r="I64" s="19">
        <v>0</v>
      </c>
    </row>
    <row r="65" spans="1:9">
      <c r="A65" s="13" t="s">
        <v>1131</v>
      </c>
      <c r="B65" s="326" t="s">
        <v>856</v>
      </c>
      <c r="C65" s="14"/>
      <c r="D65" s="24"/>
      <c r="E65" s="210"/>
      <c r="F65" s="19"/>
      <c r="G65" s="218">
        <v>0</v>
      </c>
      <c r="H65" s="19"/>
      <c r="I65" s="19">
        <v>0</v>
      </c>
    </row>
    <row r="66" spans="1:9">
      <c r="A66" s="13" t="s">
        <v>895</v>
      </c>
      <c r="B66" s="326" t="s">
        <v>857</v>
      </c>
      <c r="C66" s="14">
        <v>0</v>
      </c>
      <c r="D66" s="24"/>
      <c r="E66" s="210">
        <v>1200000</v>
      </c>
      <c r="F66" s="19">
        <v>1200000</v>
      </c>
      <c r="G66" s="218">
        <v>0</v>
      </c>
      <c r="H66" s="19"/>
      <c r="I66" s="19"/>
    </row>
    <row r="67" spans="1:9">
      <c r="A67" s="13" t="s">
        <v>933</v>
      </c>
      <c r="B67" s="326" t="s">
        <v>857</v>
      </c>
      <c r="C67" s="14"/>
      <c r="D67" s="24"/>
      <c r="E67" s="210">
        <v>0</v>
      </c>
      <c r="F67" s="19"/>
      <c r="G67" s="218"/>
      <c r="H67" s="19"/>
      <c r="I67" s="19"/>
    </row>
    <row r="68" spans="1:9">
      <c r="A68" s="13" t="s">
        <v>885</v>
      </c>
      <c r="B68" s="326" t="s">
        <v>857</v>
      </c>
      <c r="C68" s="14">
        <v>0</v>
      </c>
      <c r="D68" s="24"/>
      <c r="E68" s="210"/>
      <c r="F68" s="19"/>
      <c r="G68" s="218"/>
      <c r="H68" s="19"/>
      <c r="I68" s="19"/>
    </row>
    <row r="69" spans="1:9">
      <c r="A69" s="13" t="s">
        <v>896</v>
      </c>
      <c r="B69" s="326" t="s">
        <v>659</v>
      </c>
      <c r="C69" s="14"/>
      <c r="D69" s="24"/>
      <c r="E69" s="210">
        <v>0</v>
      </c>
      <c r="F69" s="19"/>
      <c r="G69" s="218"/>
      <c r="H69" s="19">
        <v>0</v>
      </c>
      <c r="I69" s="19">
        <v>0</v>
      </c>
    </row>
    <row r="70" spans="1:9">
      <c r="A70" s="13" t="s">
        <v>897</v>
      </c>
      <c r="B70" s="326" t="s">
        <v>857</v>
      </c>
      <c r="C70" s="14">
        <v>500000</v>
      </c>
      <c r="D70" s="24">
        <v>476911.1</v>
      </c>
      <c r="E70" s="210">
        <v>1500000</v>
      </c>
      <c r="F70" s="19">
        <v>1500000</v>
      </c>
      <c r="G70" s="218">
        <v>0</v>
      </c>
      <c r="H70" s="19">
        <v>0</v>
      </c>
      <c r="I70" s="19">
        <v>0</v>
      </c>
    </row>
    <row r="71" spans="1:9">
      <c r="A71" s="13"/>
      <c r="B71" s="326"/>
      <c r="C71" s="14"/>
      <c r="D71" s="24"/>
      <c r="E71" s="210"/>
      <c r="F71" s="19"/>
      <c r="G71" s="218"/>
      <c r="H71" s="19"/>
      <c r="I71" s="19"/>
    </row>
    <row r="72" spans="1:9">
      <c r="A72" s="10" t="s">
        <v>149</v>
      </c>
      <c r="B72" s="327"/>
      <c r="C72" s="15">
        <f>SUM(C74:C78)</f>
        <v>5134063</v>
      </c>
      <c r="D72" s="15">
        <f>SUM(D74:D78)</f>
        <v>6021538</v>
      </c>
      <c r="E72" s="213">
        <f>SUM(E74:E78)</f>
        <v>6902626.8399999999</v>
      </c>
      <c r="F72" s="213">
        <f>SUM(F74:F78)</f>
        <v>4120103.11</v>
      </c>
      <c r="G72" s="213">
        <f>SUM(G73:G78)</f>
        <v>4098843.75</v>
      </c>
      <c r="H72" s="16">
        <f>SUM(H74:H78)</f>
        <v>4780644.03</v>
      </c>
      <c r="I72" s="16">
        <f>SUM(I74:I78)</f>
        <v>5000000</v>
      </c>
    </row>
    <row r="73" spans="1:9">
      <c r="A73" s="13"/>
      <c r="B73" s="326"/>
      <c r="C73" s="14"/>
      <c r="D73" s="24"/>
      <c r="E73" s="210"/>
      <c r="F73" s="19"/>
      <c r="G73" s="218"/>
      <c r="H73" s="14"/>
      <c r="I73" s="14"/>
    </row>
    <row r="74" spans="1:9">
      <c r="A74" s="13" t="s">
        <v>898</v>
      </c>
      <c r="B74" s="326" t="s">
        <v>856</v>
      </c>
      <c r="C74" s="14">
        <v>5134063</v>
      </c>
      <c r="D74" s="24">
        <v>6021538</v>
      </c>
      <c r="E74" s="210">
        <v>1843841.67</v>
      </c>
      <c r="F74" s="19">
        <v>1803353.21</v>
      </c>
      <c r="G74" s="336"/>
      <c r="H74" s="14">
        <v>0</v>
      </c>
      <c r="I74" s="14">
        <v>0</v>
      </c>
    </row>
    <row r="75" spans="1:9">
      <c r="A75" s="13" t="s">
        <v>899</v>
      </c>
      <c r="B75" s="326" t="s">
        <v>856</v>
      </c>
      <c r="C75" s="14">
        <v>0</v>
      </c>
      <c r="D75" s="24"/>
      <c r="E75" s="210">
        <v>0</v>
      </c>
      <c r="F75" s="19"/>
      <c r="G75" s="218"/>
      <c r="H75" s="14"/>
      <c r="I75" s="14"/>
    </row>
    <row r="76" spans="1:9">
      <c r="A76" s="13" t="s">
        <v>913</v>
      </c>
      <c r="B76" s="326" t="s">
        <v>856</v>
      </c>
      <c r="C76" s="14"/>
      <c r="D76" s="24"/>
      <c r="E76" s="210">
        <v>5058785.17</v>
      </c>
      <c r="F76" s="19">
        <v>2316749.9</v>
      </c>
      <c r="G76" s="218">
        <v>4098843.75</v>
      </c>
      <c r="H76" s="14">
        <v>4780644.03</v>
      </c>
      <c r="I76" s="14">
        <v>5000000</v>
      </c>
    </row>
    <row r="77" spans="1:9">
      <c r="A77" s="13"/>
      <c r="B77" s="326"/>
      <c r="C77" s="14"/>
      <c r="D77" s="24"/>
      <c r="E77" s="210"/>
      <c r="F77" s="19"/>
      <c r="G77" s="218"/>
      <c r="H77" s="14"/>
      <c r="I77" s="14"/>
    </row>
    <row r="78" spans="1:9">
      <c r="A78" s="13"/>
      <c r="B78" s="326"/>
      <c r="C78" s="14"/>
      <c r="D78" s="24"/>
      <c r="E78" s="210"/>
      <c r="F78" s="19"/>
      <c r="G78" s="218"/>
      <c r="H78" s="14"/>
      <c r="I78" s="14"/>
    </row>
    <row r="79" spans="1:9">
      <c r="A79" s="10" t="s">
        <v>900</v>
      </c>
      <c r="B79" s="327"/>
      <c r="C79" s="15">
        <f>SUM(C81:C85)</f>
        <v>400000</v>
      </c>
      <c r="D79" s="15">
        <f>SUM(D81:D85)</f>
        <v>0</v>
      </c>
      <c r="E79" s="213">
        <f>SUM(E81:E86)</f>
        <v>6091287.21</v>
      </c>
      <c r="F79" s="213">
        <f>SUM(F81:F86)</f>
        <v>4007754.23</v>
      </c>
      <c r="G79" s="213">
        <f>SUM(G81:G89)</f>
        <v>0</v>
      </c>
      <c r="H79" s="16">
        <f>SUM(H81:H85)</f>
        <v>1324578</v>
      </c>
      <c r="I79" s="16">
        <f>SUM(I81:I85)</f>
        <v>5607166</v>
      </c>
    </row>
    <row r="80" spans="1:9">
      <c r="A80" s="13"/>
      <c r="B80" s="326"/>
      <c r="C80" s="14"/>
      <c r="D80" s="24"/>
      <c r="E80" s="210"/>
      <c r="F80" s="19"/>
      <c r="G80" s="218"/>
      <c r="H80" s="14"/>
      <c r="I80" s="14"/>
    </row>
    <row r="81" spans="1:9">
      <c r="A81" s="13" t="s">
        <v>901</v>
      </c>
      <c r="B81" s="328" t="s">
        <v>856</v>
      </c>
      <c r="C81" s="14"/>
      <c r="D81" s="24"/>
      <c r="E81" s="210">
        <v>0</v>
      </c>
      <c r="F81" s="19"/>
      <c r="G81" s="218"/>
      <c r="H81" s="19">
        <v>1324578</v>
      </c>
      <c r="I81" s="19">
        <v>5607166</v>
      </c>
    </row>
    <row r="82" spans="1:9">
      <c r="A82" s="13" t="s">
        <v>914</v>
      </c>
      <c r="B82" s="328" t="s">
        <v>856</v>
      </c>
      <c r="C82" s="14"/>
      <c r="D82" s="24"/>
      <c r="E82" s="210">
        <v>5191287.21</v>
      </c>
      <c r="F82" s="19">
        <v>3017754.23</v>
      </c>
      <c r="G82" s="218">
        <v>0</v>
      </c>
      <c r="H82" s="19">
        <v>0</v>
      </c>
      <c r="I82" s="19">
        <v>0</v>
      </c>
    </row>
    <row r="83" spans="1:9">
      <c r="A83" s="13" t="s">
        <v>902</v>
      </c>
      <c r="B83" s="328" t="s">
        <v>857</v>
      </c>
      <c r="C83" s="14">
        <v>400000</v>
      </c>
      <c r="D83" s="24"/>
      <c r="E83" s="210">
        <v>800000</v>
      </c>
      <c r="F83" s="19">
        <v>950000</v>
      </c>
      <c r="G83" s="218">
        <v>0</v>
      </c>
      <c r="H83" s="14"/>
      <c r="I83" s="14"/>
    </row>
    <row r="84" spans="1:9">
      <c r="A84" s="13" t="s">
        <v>903</v>
      </c>
      <c r="B84" s="328" t="s">
        <v>904</v>
      </c>
      <c r="C84" s="14"/>
      <c r="D84" s="24">
        <v>0</v>
      </c>
      <c r="E84" s="210"/>
      <c r="F84" s="19"/>
      <c r="G84" s="218"/>
      <c r="H84" s="14"/>
      <c r="I84" s="14"/>
    </row>
    <row r="85" spans="1:9">
      <c r="A85" s="13" t="s">
        <v>905</v>
      </c>
      <c r="B85" s="328" t="s">
        <v>904</v>
      </c>
      <c r="C85" s="14"/>
      <c r="D85" s="24">
        <v>0</v>
      </c>
      <c r="E85" s="210"/>
      <c r="F85" s="19"/>
      <c r="G85" s="218"/>
      <c r="H85" s="14"/>
      <c r="I85" s="14"/>
    </row>
    <row r="86" spans="1:9">
      <c r="A86" s="13" t="s">
        <v>937</v>
      </c>
      <c r="B86" s="328" t="s">
        <v>857</v>
      </c>
      <c r="C86" s="14"/>
      <c r="D86" s="24"/>
      <c r="E86" s="210">
        <v>100000</v>
      </c>
      <c r="F86" s="19">
        <v>40000</v>
      </c>
      <c r="G86" s="218"/>
      <c r="H86" s="14"/>
      <c r="I86" s="14"/>
    </row>
    <row r="87" spans="1:9">
      <c r="A87" s="13" t="s">
        <v>1127</v>
      </c>
      <c r="B87" s="328" t="s">
        <v>856</v>
      </c>
      <c r="C87" s="14"/>
      <c r="D87" s="24"/>
      <c r="E87" s="210"/>
      <c r="F87" s="19"/>
      <c r="G87" s="218">
        <v>0</v>
      </c>
      <c r="H87" s="14"/>
      <c r="I87" s="14"/>
    </row>
    <row r="88" spans="1:9">
      <c r="A88" s="13" t="s">
        <v>1128</v>
      </c>
      <c r="B88" s="328" t="s">
        <v>856</v>
      </c>
      <c r="C88" s="14"/>
      <c r="D88" s="24"/>
      <c r="E88" s="210"/>
      <c r="F88" s="19"/>
      <c r="G88" s="218">
        <v>0</v>
      </c>
      <c r="H88" s="14"/>
      <c r="I88" s="14"/>
    </row>
    <row r="89" spans="1:9">
      <c r="A89" s="13"/>
      <c r="B89" s="328"/>
      <c r="C89" s="14"/>
      <c r="D89" s="24"/>
      <c r="E89" s="210"/>
      <c r="F89" s="19"/>
      <c r="G89" s="218"/>
      <c r="H89" s="14"/>
      <c r="I89" s="14"/>
    </row>
    <row r="90" spans="1:9" s="22" customFormat="1" ht="15.75" thickBot="1">
      <c r="A90" s="307" t="s">
        <v>906</v>
      </c>
      <c r="B90" s="329"/>
      <c r="C90" s="308">
        <f>SUM(C79+C72+C61+C47+C29+C20+C10+C4)</f>
        <v>55293000</v>
      </c>
      <c r="D90" s="309">
        <f>SUM(D79+D72+D61+D47+D29+D20+D10+D4)</f>
        <v>54548911.100000001</v>
      </c>
      <c r="E90" s="308">
        <f>E79+E72+E61+E47+E29+E20+E10+E4</f>
        <v>67597000</v>
      </c>
      <c r="F90" s="308">
        <f>F79+F72+F61+F47+F29+F20+F10+F4</f>
        <v>67767000</v>
      </c>
      <c r="G90" s="308">
        <f>G79+G72+G61+G47+G29+G20+G10+G4</f>
        <v>29790970.819499999</v>
      </c>
      <c r="H90" s="310">
        <f>SUM(H79+H72+H61+H47+H29+H20+H10+H4)</f>
        <v>24339300</v>
      </c>
      <c r="I90" s="310">
        <f>SUM(I79+I72+I61+I47+I29+I20+I10+I4)</f>
        <v>29115668</v>
      </c>
    </row>
    <row r="91" spans="1:9">
      <c r="A91" s="8"/>
      <c r="B91" s="330"/>
      <c r="C91" s="9"/>
      <c r="D91" s="23"/>
      <c r="E91" s="208"/>
      <c r="F91" s="256"/>
      <c r="G91" s="217"/>
      <c r="H91" s="9"/>
      <c r="I91" s="9"/>
    </row>
    <row r="92" spans="1:9" s="1" customFormat="1">
      <c r="A92" s="17" t="s">
        <v>907</v>
      </c>
      <c r="B92" s="328"/>
      <c r="C92" s="18"/>
      <c r="D92" s="24"/>
      <c r="E92" s="211"/>
      <c r="F92" s="257"/>
      <c r="G92" s="219"/>
      <c r="H92" s="18"/>
      <c r="I92" s="18"/>
    </row>
    <row r="93" spans="1:9">
      <c r="A93" s="13"/>
      <c r="B93" s="328"/>
      <c r="C93" s="14"/>
      <c r="D93" s="24"/>
      <c r="E93" s="210"/>
      <c r="F93" s="19"/>
      <c r="G93" s="218"/>
      <c r="H93" s="14"/>
      <c r="I93" s="14"/>
    </row>
    <row r="94" spans="1:9" s="1" customFormat="1">
      <c r="A94" s="17" t="s">
        <v>908</v>
      </c>
      <c r="B94" s="328" t="s">
        <v>659</v>
      </c>
      <c r="C94" s="18">
        <v>12000000</v>
      </c>
      <c r="D94" s="312">
        <v>20000000</v>
      </c>
      <c r="E94" s="211">
        <v>30000000</v>
      </c>
      <c r="F94" s="257">
        <v>30000000</v>
      </c>
      <c r="G94" s="219">
        <f>G23+G31+G32+G33+G35+G43+G45+G69</f>
        <v>21983840.309499998</v>
      </c>
      <c r="H94" s="257">
        <v>0</v>
      </c>
      <c r="I94" s="257">
        <f>I23+I31+I32+I33+I43+I69</f>
        <v>12589456</v>
      </c>
    </row>
    <row r="95" spans="1:9" s="1" customFormat="1">
      <c r="A95" s="17" t="s">
        <v>909</v>
      </c>
      <c r="B95" s="328" t="s">
        <v>856</v>
      </c>
      <c r="C95" s="18">
        <v>32297000</v>
      </c>
      <c r="D95" s="312">
        <v>26572000</v>
      </c>
      <c r="E95" s="211">
        <v>24633000</v>
      </c>
      <c r="F95" s="257">
        <v>24633000</v>
      </c>
      <c r="G95" s="219">
        <f>G13+G14+G15+G16+G17+G18+G22+G24+G25+G34+G36+G38+G39+G40+G46+G63+G64+G65+G76+G75+G81+G82+G87+G88</f>
        <v>7807130.5100000007</v>
      </c>
      <c r="H95" s="257">
        <f>H13+H14+H15+H16+H18+H24+H36+H76+H81</f>
        <v>23109300</v>
      </c>
      <c r="I95" s="257">
        <f>I13+I14+I15+I16+I24+I25+I36+I63+I64+I65+I76+I81+I82</f>
        <v>15026212</v>
      </c>
    </row>
    <row r="96" spans="1:9" s="1" customFormat="1">
      <c r="A96" s="17" t="s">
        <v>910</v>
      </c>
      <c r="B96" s="328" t="s">
        <v>820</v>
      </c>
      <c r="C96" s="18">
        <v>5000000</v>
      </c>
      <c r="D96" s="312">
        <v>5300000</v>
      </c>
      <c r="E96" s="211">
        <v>3240000</v>
      </c>
      <c r="F96" s="257">
        <v>3240000</v>
      </c>
      <c r="G96" s="219">
        <v>0</v>
      </c>
      <c r="H96" s="18">
        <v>0</v>
      </c>
      <c r="I96" s="18">
        <v>0</v>
      </c>
    </row>
    <row r="97" spans="1:9" s="1" customFormat="1">
      <c r="A97" s="17" t="s">
        <v>1027</v>
      </c>
      <c r="B97" s="328" t="s">
        <v>1027</v>
      </c>
      <c r="C97" s="18"/>
      <c r="D97" s="312"/>
      <c r="E97" s="211">
        <v>4900000</v>
      </c>
      <c r="F97" s="257">
        <v>4900000</v>
      </c>
      <c r="G97" s="219"/>
      <c r="H97" s="18"/>
      <c r="I97" s="18"/>
    </row>
    <row r="98" spans="1:9" s="1" customFormat="1">
      <c r="A98" s="17" t="s">
        <v>911</v>
      </c>
      <c r="B98" s="328" t="s">
        <v>857</v>
      </c>
      <c r="C98" s="18">
        <v>5996000</v>
      </c>
      <c r="D98" s="312">
        <v>4150000</v>
      </c>
      <c r="E98" s="211">
        <v>4824000</v>
      </c>
      <c r="F98" s="257">
        <v>4994000</v>
      </c>
      <c r="G98" s="359">
        <f>G6+G7+G8+G12+G30+G37+G42+G44+G51+G52+G53+G54+G55+G56+G66+G67+G68+G83+G86</f>
        <v>0</v>
      </c>
      <c r="H98" s="18">
        <f>H6+H7+H30+H37+H70</f>
        <v>1230000</v>
      </c>
      <c r="I98" s="18">
        <f>I6+I7+I30+I37+I70</f>
        <v>1500000</v>
      </c>
    </row>
    <row r="99" spans="1:9" s="1" customFormat="1">
      <c r="A99" s="17"/>
      <c r="B99" s="328"/>
      <c r="C99" s="18"/>
      <c r="D99" s="312"/>
      <c r="E99" s="211"/>
      <c r="F99" s="257"/>
      <c r="G99" s="219"/>
      <c r="H99" s="18"/>
      <c r="I99" s="18"/>
    </row>
    <row r="100" spans="1:9" s="1" customFormat="1">
      <c r="A100" s="313" t="s">
        <v>912</v>
      </c>
      <c r="B100" s="331"/>
      <c r="C100" s="314">
        <f t="shared" ref="C100:I100" si="3">SUM(C94:C98)</f>
        <v>55293000</v>
      </c>
      <c r="D100" s="314">
        <f t="shared" si="3"/>
        <v>56022000</v>
      </c>
      <c r="E100" s="314">
        <f t="shared" si="3"/>
        <v>67597000</v>
      </c>
      <c r="F100" s="314">
        <f t="shared" si="3"/>
        <v>67767000</v>
      </c>
      <c r="G100" s="314">
        <f t="shared" si="3"/>
        <v>29790970.819499999</v>
      </c>
      <c r="H100" s="314">
        <f t="shared" si="3"/>
        <v>24339300</v>
      </c>
      <c r="I100" s="314">
        <f t="shared" si="3"/>
        <v>29115668</v>
      </c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topLeftCell="B1" zoomScaleNormal="100" workbookViewId="0">
      <selection activeCell="I16" sqref="I16:K16"/>
    </sheetView>
  </sheetViews>
  <sheetFormatPr defaultRowHeight="15"/>
  <cols>
    <col min="1" max="1" width="64.42578125" customWidth="1"/>
    <col min="2" max="2" width="16.7109375" style="1" customWidth="1"/>
    <col min="3" max="3" width="14.7109375" style="6" customWidth="1"/>
    <col min="4" max="4" width="13.42578125" style="7" bestFit="1" customWidth="1"/>
    <col min="5" max="5" width="13.42578125" style="207" bestFit="1" customWidth="1"/>
    <col min="6" max="6" width="17.5703125" style="207" bestFit="1" customWidth="1"/>
    <col min="7" max="7" width="17.85546875" style="207" customWidth="1"/>
    <col min="8" max="8" width="15.85546875" style="6" bestFit="1" customWidth="1"/>
    <col min="9" max="9" width="17.140625" style="6" customWidth="1"/>
    <col min="11" max="11" width="14.140625" bestFit="1" customWidth="1"/>
  </cols>
  <sheetData>
    <row r="1" spans="1:9" ht="15.75" thickBot="1">
      <c r="A1" s="1" t="s">
        <v>853</v>
      </c>
    </row>
    <row r="2" spans="1:9" s="323" customFormat="1" ht="16.5" thickBot="1">
      <c r="A2" s="322"/>
      <c r="B2" s="382" t="s">
        <v>854</v>
      </c>
      <c r="C2" s="382" t="s">
        <v>1135</v>
      </c>
      <c r="D2" s="384" t="s">
        <v>1136</v>
      </c>
      <c r="E2" s="386" t="s">
        <v>1137</v>
      </c>
      <c r="F2" s="386" t="s">
        <v>1103</v>
      </c>
      <c r="G2" s="386" t="s">
        <v>1123</v>
      </c>
      <c r="H2" s="380" t="s">
        <v>1138</v>
      </c>
      <c r="I2" s="380" t="s">
        <v>1139</v>
      </c>
    </row>
    <row r="3" spans="1:9">
      <c r="A3" s="8"/>
      <c r="B3" s="383"/>
      <c r="C3" s="383"/>
      <c r="D3" s="385"/>
      <c r="E3" s="387"/>
      <c r="F3" s="387"/>
      <c r="G3" s="387"/>
      <c r="H3" s="381"/>
      <c r="I3" s="381"/>
    </row>
    <row r="4" spans="1:9">
      <c r="A4" s="10" t="s">
        <v>855</v>
      </c>
      <c r="B4" s="324"/>
      <c r="C4" s="11">
        <f>SUM(C6:C9)</f>
        <v>1500000</v>
      </c>
      <c r="D4" s="12">
        <f>SUM(D6:D8)</f>
        <v>850000</v>
      </c>
      <c r="E4" s="212">
        <f>SUM(E6:E9)</f>
        <v>1224000</v>
      </c>
      <c r="F4" s="212">
        <f>SUM(F6:F9)</f>
        <v>1304000</v>
      </c>
      <c r="G4" s="212">
        <f>SUM(G5:G9)</f>
        <v>0</v>
      </c>
      <c r="H4" s="11">
        <f>SUM(H6:H9)</f>
        <v>1460000</v>
      </c>
      <c r="I4" s="11">
        <f>SUM(I6:I9)</f>
        <v>1600000</v>
      </c>
    </row>
    <row r="5" spans="1:9">
      <c r="A5" s="20"/>
      <c r="B5" s="325"/>
      <c r="C5" s="21"/>
      <c r="D5" s="25"/>
      <c r="E5" s="209"/>
      <c r="F5" s="255"/>
      <c r="G5" s="216"/>
      <c r="H5" s="21"/>
      <c r="I5" s="21"/>
    </row>
    <row r="6" spans="1:9">
      <c r="A6" s="13" t="s">
        <v>419</v>
      </c>
      <c r="B6" s="326" t="s">
        <v>857</v>
      </c>
      <c r="C6" s="14">
        <v>1000000</v>
      </c>
      <c r="D6" s="24">
        <v>750000</v>
      </c>
      <c r="E6" s="210">
        <f>800000+250000+104000</f>
        <v>1154000</v>
      </c>
      <c r="F6" s="19">
        <v>1154000</v>
      </c>
      <c r="G6" s="218">
        <v>0</v>
      </c>
      <c r="H6" s="14">
        <v>800000</v>
      </c>
      <c r="I6" s="14">
        <v>700000</v>
      </c>
    </row>
    <row r="7" spans="1:9">
      <c r="A7" s="13" t="s">
        <v>858</v>
      </c>
      <c r="B7" s="326" t="s">
        <v>857</v>
      </c>
      <c r="C7" s="14">
        <v>500000</v>
      </c>
      <c r="D7" s="24">
        <v>85000</v>
      </c>
      <c r="E7" s="210">
        <v>70000</v>
      </c>
      <c r="F7" s="19">
        <v>150000</v>
      </c>
      <c r="G7" s="218">
        <v>0</v>
      </c>
      <c r="H7" s="14">
        <v>660000</v>
      </c>
      <c r="I7" s="14">
        <v>900000</v>
      </c>
    </row>
    <row r="8" spans="1:9">
      <c r="A8" s="13" t="s">
        <v>859</v>
      </c>
      <c r="B8" s="326" t="s">
        <v>857</v>
      </c>
      <c r="C8" s="14">
        <v>0</v>
      </c>
      <c r="D8" s="24">
        <v>15000</v>
      </c>
      <c r="E8" s="210">
        <v>0</v>
      </c>
      <c r="F8" s="19"/>
      <c r="G8" s="218">
        <v>0</v>
      </c>
      <c r="H8" s="14"/>
      <c r="I8" s="14"/>
    </row>
    <row r="9" spans="1:9">
      <c r="A9" s="13"/>
      <c r="B9" s="326"/>
      <c r="C9" s="14"/>
      <c r="D9" s="24"/>
      <c r="E9" s="210"/>
      <c r="F9" s="19"/>
      <c r="G9" s="218"/>
      <c r="H9" s="14"/>
      <c r="I9" s="14"/>
    </row>
    <row r="10" spans="1:9" s="1" customFormat="1">
      <c r="A10" s="10" t="s">
        <v>860</v>
      </c>
      <c r="B10" s="327"/>
      <c r="C10" s="15">
        <f t="shared" ref="C10:I10" si="0">SUM(C13:C19)</f>
        <v>15268102</v>
      </c>
      <c r="D10" s="15">
        <f t="shared" si="0"/>
        <v>12031211</v>
      </c>
      <c r="E10" s="213">
        <f t="shared" si="0"/>
        <v>12309264.310000001</v>
      </c>
      <c r="F10" s="213">
        <f t="shared" si="0"/>
        <v>15780459.760000002</v>
      </c>
      <c r="G10" s="213">
        <f>SUM(G11:G19)</f>
        <v>1210900</v>
      </c>
      <c r="H10" s="16">
        <f t="shared" si="0"/>
        <v>1289700</v>
      </c>
      <c r="I10" s="16">
        <f t="shared" si="0"/>
        <v>1920842</v>
      </c>
    </row>
    <row r="11" spans="1:9" s="1" customFormat="1">
      <c r="A11" s="17"/>
      <c r="B11" s="326"/>
      <c r="C11" s="18"/>
      <c r="D11" s="24"/>
      <c r="E11" s="211"/>
      <c r="F11" s="257"/>
      <c r="G11" s="219"/>
      <c r="H11" s="18"/>
      <c r="I11" s="18"/>
    </row>
    <row r="12" spans="1:9" s="1" customFormat="1">
      <c r="A12" s="13" t="s">
        <v>468</v>
      </c>
      <c r="B12" s="326" t="s">
        <v>857</v>
      </c>
      <c r="C12" s="18"/>
      <c r="D12" s="24"/>
      <c r="E12" s="211"/>
      <c r="F12" s="257"/>
      <c r="G12" s="219">
        <v>0</v>
      </c>
      <c r="H12" s="18"/>
      <c r="I12" s="18"/>
    </row>
    <row r="13" spans="1:9">
      <c r="A13" s="13" t="s">
        <v>468</v>
      </c>
      <c r="B13" s="326" t="s">
        <v>856</v>
      </c>
      <c r="C13" s="14">
        <v>1614850</v>
      </c>
      <c r="D13" s="24">
        <v>1328600</v>
      </c>
      <c r="E13" s="210">
        <v>1231650</v>
      </c>
      <c r="F13" s="19">
        <v>1231650</v>
      </c>
      <c r="G13" s="218">
        <v>1210900</v>
      </c>
      <c r="H13" s="14">
        <v>1289700</v>
      </c>
      <c r="I13" s="14">
        <v>1351897</v>
      </c>
    </row>
    <row r="14" spans="1:9">
      <c r="A14" s="13" t="s">
        <v>861</v>
      </c>
      <c r="B14" s="326" t="s">
        <v>856</v>
      </c>
      <c r="C14" s="14">
        <v>1923996</v>
      </c>
      <c r="D14" s="24">
        <v>580676</v>
      </c>
      <c r="E14" s="210">
        <v>0</v>
      </c>
      <c r="F14" s="19">
        <v>4026169.73</v>
      </c>
      <c r="G14" s="218">
        <v>0</v>
      </c>
      <c r="H14" s="19">
        <v>0</v>
      </c>
      <c r="I14" s="19">
        <v>0</v>
      </c>
    </row>
    <row r="15" spans="1:9">
      <c r="A15" s="13" t="s">
        <v>862</v>
      </c>
      <c r="B15" s="326" t="s">
        <v>856</v>
      </c>
      <c r="C15" s="14">
        <v>11729256</v>
      </c>
      <c r="D15" s="24">
        <v>840241</v>
      </c>
      <c r="E15" s="210">
        <v>0</v>
      </c>
      <c r="F15" s="19">
        <v>81510.13</v>
      </c>
      <c r="G15" s="218"/>
      <c r="H15" s="19">
        <v>0</v>
      </c>
      <c r="I15" s="19">
        <v>0</v>
      </c>
    </row>
    <row r="16" spans="1:9">
      <c r="A16" s="13" t="s">
        <v>863</v>
      </c>
      <c r="B16" s="326" t="s">
        <v>856</v>
      </c>
      <c r="C16" s="14">
        <v>0</v>
      </c>
      <c r="D16" s="24">
        <v>9281694</v>
      </c>
      <c r="E16" s="210">
        <v>11077614.310000001</v>
      </c>
      <c r="F16" s="19">
        <v>10441129.9</v>
      </c>
      <c r="G16" s="218">
        <v>0</v>
      </c>
      <c r="H16" s="19">
        <v>0</v>
      </c>
      <c r="I16" s="19">
        <v>568945</v>
      </c>
    </row>
    <row r="17" spans="1:11">
      <c r="A17" s="13" t="s">
        <v>864</v>
      </c>
      <c r="B17" s="326" t="s">
        <v>856</v>
      </c>
      <c r="C17" s="14"/>
      <c r="D17" s="24"/>
      <c r="E17" s="210"/>
      <c r="F17" s="19"/>
      <c r="G17" s="218"/>
      <c r="H17" s="14"/>
      <c r="I17" s="14"/>
    </row>
    <row r="18" spans="1:11" ht="16.5">
      <c r="A18" s="311" t="s">
        <v>1130</v>
      </c>
      <c r="B18" s="326" t="s">
        <v>856</v>
      </c>
      <c r="C18" s="14"/>
      <c r="D18" s="24"/>
      <c r="E18" s="210"/>
      <c r="F18" s="19"/>
      <c r="G18" s="218">
        <v>0</v>
      </c>
      <c r="H18" s="14">
        <v>0</v>
      </c>
      <c r="I18" s="14"/>
    </row>
    <row r="19" spans="1:11">
      <c r="A19" s="13"/>
      <c r="B19" s="326"/>
      <c r="C19" s="14"/>
      <c r="D19" s="24"/>
      <c r="E19" s="210"/>
      <c r="F19" s="19"/>
      <c r="G19" s="218"/>
      <c r="H19" s="14"/>
      <c r="I19" s="14"/>
    </row>
    <row r="20" spans="1:11" s="1" customFormat="1">
      <c r="A20" s="10" t="s">
        <v>865</v>
      </c>
      <c r="B20" s="327"/>
      <c r="C20" s="15">
        <f t="shared" ref="C20:I20" si="1">SUM(C22:C28)</f>
        <v>1949350</v>
      </c>
      <c r="D20" s="15">
        <f t="shared" si="1"/>
        <v>3693941</v>
      </c>
      <c r="E20" s="213">
        <f t="shared" si="1"/>
        <v>15567151.569999998</v>
      </c>
      <c r="F20" s="213">
        <f t="shared" si="1"/>
        <v>10983371.289999999</v>
      </c>
      <c r="G20" s="213">
        <f>SUM(G21:G28)</f>
        <v>279103.03000000003</v>
      </c>
      <c r="H20" s="16">
        <f t="shared" si="1"/>
        <v>0</v>
      </c>
      <c r="I20" s="16">
        <f t="shared" si="1"/>
        <v>5000000</v>
      </c>
    </row>
    <row r="21" spans="1:11">
      <c r="A21" s="13"/>
      <c r="B21" s="326"/>
      <c r="C21" s="14"/>
      <c r="D21" s="24"/>
      <c r="E21" s="210"/>
      <c r="F21" s="19"/>
      <c r="G21" s="218"/>
      <c r="H21" s="14"/>
      <c r="I21" s="14"/>
    </row>
    <row r="22" spans="1:11">
      <c r="A22" s="13" t="s">
        <v>866</v>
      </c>
      <c r="B22" s="326" t="s">
        <v>856</v>
      </c>
      <c r="C22" s="14"/>
      <c r="D22" s="24">
        <v>0</v>
      </c>
      <c r="E22" s="210"/>
      <c r="F22" s="19"/>
      <c r="G22" s="218"/>
      <c r="H22" s="14"/>
      <c r="I22" s="14"/>
    </row>
    <row r="23" spans="1:11">
      <c r="A23" s="13" t="s">
        <v>867</v>
      </c>
      <c r="B23" s="326" t="s">
        <v>659</v>
      </c>
      <c r="C23" s="14">
        <v>1500000</v>
      </c>
      <c r="D23" s="24"/>
      <c r="E23" s="210">
        <v>10510442.539999999</v>
      </c>
      <c r="F23" s="19">
        <f>809632.59+2881544.14+1291914.8</f>
        <v>4983091.53</v>
      </c>
      <c r="G23" s="218">
        <v>279103.03000000003</v>
      </c>
      <c r="H23" s="14">
        <v>0</v>
      </c>
      <c r="I23" s="14">
        <v>2589456</v>
      </c>
    </row>
    <row r="24" spans="1:11">
      <c r="A24" s="13" t="s">
        <v>868</v>
      </c>
      <c r="B24" s="326" t="s">
        <v>856</v>
      </c>
      <c r="C24" s="14"/>
      <c r="D24" s="24"/>
      <c r="E24" s="210">
        <v>0</v>
      </c>
      <c r="F24" s="19"/>
      <c r="G24" s="218"/>
      <c r="H24" s="19">
        <v>13250000</v>
      </c>
      <c r="I24" s="19">
        <v>1459856</v>
      </c>
    </row>
    <row r="25" spans="1:11">
      <c r="A25" s="13" t="s">
        <v>869</v>
      </c>
      <c r="B25" s="326" t="s">
        <v>856</v>
      </c>
      <c r="C25" s="14">
        <v>449350</v>
      </c>
      <c r="D25" s="24">
        <v>3693941</v>
      </c>
      <c r="E25" s="210">
        <v>156709.03</v>
      </c>
      <c r="F25" s="19">
        <v>1100279.76</v>
      </c>
      <c r="G25" s="218"/>
      <c r="H25" s="19"/>
      <c r="I25" s="19">
        <v>5000000</v>
      </c>
    </row>
    <row r="26" spans="1:11">
      <c r="A26" s="13" t="s">
        <v>870</v>
      </c>
      <c r="B26" s="326"/>
      <c r="C26" s="14"/>
      <c r="D26" s="24"/>
      <c r="E26" s="210"/>
      <c r="F26" s="19"/>
      <c r="G26" s="218"/>
      <c r="H26" s="19"/>
      <c r="I26" s="19"/>
    </row>
    <row r="27" spans="1:11">
      <c r="A27" t="s">
        <v>983</v>
      </c>
      <c r="B27" s="328" t="s">
        <v>1026</v>
      </c>
      <c r="C27" s="14"/>
      <c r="D27" s="24"/>
      <c r="E27" s="210">
        <v>4900000</v>
      </c>
      <c r="F27" s="19">
        <v>4900000</v>
      </c>
      <c r="G27" s="218"/>
      <c r="H27" s="14">
        <v>0</v>
      </c>
      <c r="I27" s="14">
        <v>0</v>
      </c>
    </row>
    <row r="28" spans="1:11">
      <c r="A28" s="13"/>
      <c r="B28" s="326"/>
      <c r="C28" s="14"/>
      <c r="D28" s="24"/>
      <c r="E28" s="210"/>
      <c r="F28" s="19"/>
      <c r="G28" s="218"/>
      <c r="H28" s="14"/>
      <c r="I28" s="14"/>
    </row>
    <row r="29" spans="1:11" s="1" customFormat="1">
      <c r="A29" s="10" t="s">
        <v>663</v>
      </c>
      <c r="B29" s="327"/>
      <c r="C29" s="15">
        <f t="shared" ref="C29:I29" si="2">SUM(C30:C46)</f>
        <v>21810649</v>
      </c>
      <c r="D29" s="15">
        <f t="shared" si="2"/>
        <v>24613554</v>
      </c>
      <c r="E29" s="213">
        <f t="shared" si="2"/>
        <v>19489557.460000001</v>
      </c>
      <c r="F29" s="213">
        <f t="shared" si="2"/>
        <v>25558199</v>
      </c>
      <c r="G29" s="213">
        <f>SUM(G30:G46)</f>
        <v>20111843.879999999</v>
      </c>
      <c r="H29" s="16">
        <f t="shared" si="2"/>
        <v>2500000</v>
      </c>
      <c r="I29" s="16">
        <f t="shared" si="2"/>
        <v>45018554</v>
      </c>
      <c r="K29" s="44">
        <v>42095684.189999998</v>
      </c>
    </row>
    <row r="30" spans="1:11">
      <c r="A30" s="13" t="s">
        <v>871</v>
      </c>
      <c r="B30" s="326" t="s">
        <v>857</v>
      </c>
      <c r="C30" s="14">
        <v>0</v>
      </c>
      <c r="D30" s="24"/>
      <c r="E30" s="210">
        <v>0</v>
      </c>
      <c r="F30" s="19"/>
      <c r="G30" s="218"/>
      <c r="H30" s="14">
        <v>1230000</v>
      </c>
      <c r="I30" s="14">
        <v>1500000</v>
      </c>
    </row>
    <row r="31" spans="1:11">
      <c r="A31" s="13" t="s">
        <v>872</v>
      </c>
      <c r="B31" s="326" t="s">
        <v>659</v>
      </c>
      <c r="C31" s="14">
        <v>8000000</v>
      </c>
      <c r="D31" s="24">
        <v>3272778.81</v>
      </c>
      <c r="E31" s="210">
        <v>0</v>
      </c>
      <c r="F31" s="19"/>
      <c r="G31" s="218">
        <v>21983840.309499998</v>
      </c>
      <c r="H31" s="19"/>
      <c r="I31" s="19">
        <v>10000000</v>
      </c>
    </row>
    <row r="32" spans="1:11">
      <c r="A32" s="13" t="s">
        <v>873</v>
      </c>
      <c r="B32" s="326" t="s">
        <v>659</v>
      </c>
      <c r="C32" s="14">
        <v>4000000</v>
      </c>
      <c r="D32" s="24">
        <v>12145883.59</v>
      </c>
      <c r="E32" s="210">
        <v>16627392.460000001</v>
      </c>
      <c r="F32" s="19">
        <v>15477005.01</v>
      </c>
      <c r="G32" s="218">
        <v>14003583.75</v>
      </c>
      <c r="H32" s="19">
        <v>0</v>
      </c>
      <c r="I32" s="19">
        <v>19865444</v>
      </c>
    </row>
    <row r="33" spans="1:9">
      <c r="A33" s="13" t="s">
        <v>874</v>
      </c>
      <c r="B33" s="326" t="s">
        <v>659</v>
      </c>
      <c r="C33" s="14">
        <v>0</v>
      </c>
      <c r="D33" s="24"/>
      <c r="E33" s="210">
        <v>0</v>
      </c>
      <c r="F33" s="19"/>
      <c r="G33" s="218"/>
      <c r="H33" s="19">
        <v>0</v>
      </c>
      <c r="I33" s="19">
        <v>17000000</v>
      </c>
    </row>
    <row r="34" spans="1:9">
      <c r="A34" s="13" t="s">
        <v>875</v>
      </c>
      <c r="B34" s="326" t="s">
        <v>856</v>
      </c>
      <c r="C34" s="14">
        <v>500000</v>
      </c>
      <c r="D34" s="24"/>
      <c r="E34" s="210">
        <v>0</v>
      </c>
      <c r="F34" s="19"/>
      <c r="G34" s="218"/>
      <c r="H34" s="19">
        <v>0</v>
      </c>
      <c r="I34" s="19">
        <v>0</v>
      </c>
    </row>
    <row r="35" spans="1:9">
      <c r="A35" s="13" t="s">
        <v>876</v>
      </c>
      <c r="B35" s="326" t="s">
        <v>659</v>
      </c>
      <c r="C35" s="14">
        <v>7810649</v>
      </c>
      <c r="D35" s="24">
        <v>1581337.6000000001</v>
      </c>
      <c r="E35" s="210">
        <v>0</v>
      </c>
      <c r="F35" s="19"/>
      <c r="G35" s="218"/>
      <c r="H35" s="19">
        <v>0</v>
      </c>
      <c r="I35" s="19"/>
    </row>
    <row r="36" spans="1:9">
      <c r="A36" s="13" t="s">
        <v>876</v>
      </c>
      <c r="B36" s="326" t="s">
        <v>856</v>
      </c>
      <c r="C36" s="14">
        <v>0</v>
      </c>
      <c r="D36" s="24">
        <v>2817364</v>
      </c>
      <c r="E36" s="210">
        <v>0</v>
      </c>
      <c r="F36" s="19">
        <v>441744.2</v>
      </c>
      <c r="G36" s="218"/>
      <c r="H36" s="19">
        <v>1500000</v>
      </c>
      <c r="I36" s="19">
        <v>2564111</v>
      </c>
    </row>
    <row r="37" spans="1:9">
      <c r="A37" s="13" t="s">
        <v>877</v>
      </c>
      <c r="B37" s="326" t="s">
        <v>857</v>
      </c>
      <c r="C37" s="14">
        <v>1500000</v>
      </c>
      <c r="D37" s="24">
        <v>1000000</v>
      </c>
      <c r="E37" s="210">
        <v>0</v>
      </c>
      <c r="F37" s="19"/>
      <c r="G37" s="218"/>
      <c r="H37" s="19">
        <v>1000000</v>
      </c>
      <c r="I37" s="19">
        <v>2000000</v>
      </c>
    </row>
    <row r="38" spans="1:9">
      <c r="A38" s="13" t="s">
        <v>878</v>
      </c>
      <c r="B38" s="326" t="s">
        <v>856</v>
      </c>
      <c r="C38" s="14">
        <v>0</v>
      </c>
      <c r="D38" s="24">
        <v>796190</v>
      </c>
      <c r="E38" s="210"/>
      <c r="F38" s="19">
        <v>99546.33</v>
      </c>
      <c r="G38" s="218"/>
      <c r="H38" s="14"/>
      <c r="I38" s="14"/>
    </row>
    <row r="39" spans="1:9">
      <c r="A39" s="13" t="s">
        <v>879</v>
      </c>
      <c r="B39" s="326" t="s">
        <v>856</v>
      </c>
      <c r="C39" s="14">
        <v>0</v>
      </c>
      <c r="D39" s="24">
        <v>0</v>
      </c>
      <c r="E39" s="210"/>
      <c r="F39" s="19"/>
      <c r="G39" s="218"/>
      <c r="H39" s="14"/>
      <c r="I39" s="14"/>
    </row>
    <row r="40" spans="1:9">
      <c r="A40" s="13" t="s">
        <v>880</v>
      </c>
      <c r="B40" s="326" t="s">
        <v>856</v>
      </c>
      <c r="C40" s="14">
        <v>0</v>
      </c>
      <c r="D40" s="24">
        <v>0</v>
      </c>
      <c r="E40" s="210"/>
      <c r="F40" s="19"/>
      <c r="G40" s="218"/>
      <c r="H40" s="14"/>
      <c r="I40" s="14"/>
    </row>
    <row r="41" spans="1:9">
      <c r="A41" s="13" t="s">
        <v>881</v>
      </c>
      <c r="B41" s="326"/>
      <c r="C41" s="14">
        <v>0</v>
      </c>
      <c r="D41" s="24"/>
      <c r="E41" s="210"/>
      <c r="F41" s="19"/>
      <c r="G41" s="218"/>
      <c r="H41" s="14"/>
      <c r="I41" s="14"/>
    </row>
    <row r="42" spans="1:9">
      <c r="A42" s="13" t="s">
        <v>882</v>
      </c>
      <c r="B42" s="326" t="s">
        <v>857</v>
      </c>
      <c r="C42" s="14"/>
      <c r="D42" s="24"/>
      <c r="E42" s="210">
        <v>0</v>
      </c>
      <c r="F42" s="19"/>
      <c r="G42" s="218"/>
      <c r="H42" s="14"/>
      <c r="I42" s="14"/>
    </row>
    <row r="43" spans="1:9">
      <c r="A43" s="79" t="s">
        <v>883</v>
      </c>
      <c r="B43" s="326" t="s">
        <v>659</v>
      </c>
      <c r="C43" s="14">
        <v>0</v>
      </c>
      <c r="D43" s="24">
        <v>3000000</v>
      </c>
      <c r="E43" s="210">
        <v>2862165</v>
      </c>
      <c r="F43" s="19">
        <v>9539903.4600000009</v>
      </c>
      <c r="G43" s="218"/>
      <c r="H43" s="19">
        <v>0</v>
      </c>
      <c r="I43" s="19">
        <v>3588999</v>
      </c>
    </row>
    <row r="44" spans="1:9">
      <c r="A44" s="13" t="s">
        <v>884</v>
      </c>
      <c r="B44" s="326" t="s">
        <v>857</v>
      </c>
      <c r="C44" s="14">
        <v>0</v>
      </c>
      <c r="D44" s="24"/>
      <c r="E44" s="210"/>
      <c r="F44" s="19"/>
      <c r="G44" s="218"/>
      <c r="H44" s="14"/>
      <c r="I44" s="14"/>
    </row>
    <row r="45" spans="1:9">
      <c r="A45" s="13" t="s">
        <v>1126</v>
      </c>
      <c r="B45" s="326" t="s">
        <v>659</v>
      </c>
      <c r="C45" s="14"/>
      <c r="D45" s="24"/>
      <c r="E45" s="210"/>
      <c r="F45" s="19"/>
      <c r="G45" s="218">
        <v>3733472.91</v>
      </c>
      <c r="H45" s="14"/>
      <c r="I45" s="14"/>
    </row>
    <row r="46" spans="1:9">
      <c r="A46" s="13" t="s">
        <v>1129</v>
      </c>
      <c r="B46" s="326" t="s">
        <v>856</v>
      </c>
      <c r="C46" s="14"/>
      <c r="D46" s="24"/>
      <c r="E46" s="210"/>
      <c r="F46" s="19"/>
      <c r="G46" s="315">
        <v>2374787.2200000002</v>
      </c>
      <c r="H46" s="14"/>
      <c r="I46" s="14"/>
    </row>
    <row r="47" spans="1:9" s="1" customFormat="1">
      <c r="A47" s="10" t="s">
        <v>577</v>
      </c>
      <c r="B47" s="327"/>
      <c r="C47" s="15">
        <f>SUM(C49:C60)</f>
        <v>5096000</v>
      </c>
      <c r="D47" s="15">
        <f>SUM(D49:D60)</f>
        <v>5650000</v>
      </c>
      <c r="E47" s="213">
        <f>SUM(E48:E60)</f>
        <v>3240000</v>
      </c>
      <c r="F47" s="213">
        <f>SUM(F48:F60)</f>
        <v>3240000</v>
      </c>
      <c r="G47" s="213">
        <f>SUM(G48:G60)</f>
        <v>0</v>
      </c>
      <c r="H47" s="16">
        <f>SUM(H49:H60)</f>
        <v>0</v>
      </c>
      <c r="I47" s="16">
        <f>SUM(I49:I60)</f>
        <v>0</v>
      </c>
    </row>
    <row r="48" spans="1:9">
      <c r="A48" s="13"/>
      <c r="B48" s="326"/>
      <c r="C48" s="14"/>
      <c r="D48" s="24"/>
      <c r="E48" s="210"/>
      <c r="F48" s="19"/>
      <c r="G48" s="218"/>
      <c r="H48" s="14"/>
      <c r="I48" s="14"/>
    </row>
    <row r="49" spans="1:9">
      <c r="A49" s="13" t="s">
        <v>886</v>
      </c>
      <c r="B49" s="326" t="s">
        <v>820</v>
      </c>
      <c r="C49" s="14">
        <v>5000000</v>
      </c>
      <c r="D49" s="220">
        <v>5300000</v>
      </c>
      <c r="E49" s="210">
        <v>3240000</v>
      </c>
      <c r="F49" s="19">
        <v>551000</v>
      </c>
      <c r="G49" s="218"/>
      <c r="H49" s="14">
        <v>0</v>
      </c>
      <c r="I49" s="14">
        <v>0</v>
      </c>
    </row>
    <row r="50" spans="1:9">
      <c r="A50" s="13" t="s">
        <v>1113</v>
      </c>
      <c r="B50" s="326" t="s">
        <v>820</v>
      </c>
      <c r="C50" s="14"/>
      <c r="D50" s="220"/>
      <c r="E50" s="210"/>
      <c r="F50" s="19">
        <v>2689000</v>
      </c>
      <c r="G50" s="218">
        <v>0</v>
      </c>
      <c r="H50" s="14"/>
      <c r="I50" s="14"/>
    </row>
    <row r="51" spans="1:9">
      <c r="A51" s="13" t="s">
        <v>887</v>
      </c>
      <c r="B51" s="326" t="s">
        <v>857</v>
      </c>
      <c r="C51" s="14">
        <v>0</v>
      </c>
      <c r="D51" s="24">
        <v>0</v>
      </c>
      <c r="E51" s="210"/>
      <c r="F51" s="19"/>
      <c r="G51" s="218"/>
      <c r="H51" s="14"/>
      <c r="I51" s="14"/>
    </row>
    <row r="52" spans="1:9">
      <c r="A52" s="13" t="s">
        <v>559</v>
      </c>
      <c r="B52" s="326" t="s">
        <v>857</v>
      </c>
      <c r="C52" s="14">
        <v>96000</v>
      </c>
      <c r="D52" s="24">
        <v>350000</v>
      </c>
      <c r="E52" s="210"/>
      <c r="F52" s="19"/>
      <c r="G52" s="218"/>
      <c r="H52" s="14"/>
      <c r="I52" s="14"/>
    </row>
    <row r="53" spans="1:9">
      <c r="A53" s="13" t="s">
        <v>888</v>
      </c>
      <c r="B53" s="326" t="s">
        <v>857</v>
      </c>
      <c r="C53" s="14">
        <v>0</v>
      </c>
      <c r="D53" s="24"/>
      <c r="E53" s="210">
        <v>0</v>
      </c>
      <c r="F53" s="19"/>
      <c r="G53" s="218"/>
      <c r="H53" s="14">
        <v>0</v>
      </c>
      <c r="I53" s="14">
        <v>0</v>
      </c>
    </row>
    <row r="54" spans="1:9">
      <c r="A54" s="13" t="s">
        <v>889</v>
      </c>
      <c r="B54" s="326" t="s">
        <v>857</v>
      </c>
      <c r="C54" s="14">
        <v>0</v>
      </c>
      <c r="D54" s="24"/>
      <c r="E54" s="210">
        <v>0</v>
      </c>
      <c r="F54" s="19"/>
      <c r="G54" s="218"/>
      <c r="H54" s="14">
        <v>0</v>
      </c>
      <c r="I54" s="14">
        <v>0</v>
      </c>
    </row>
    <row r="55" spans="1:9">
      <c r="A55" s="13" t="s">
        <v>890</v>
      </c>
      <c r="B55" s="326" t="s">
        <v>857</v>
      </c>
      <c r="C55" s="14">
        <v>0</v>
      </c>
      <c r="D55" s="24"/>
      <c r="E55" s="210">
        <v>0</v>
      </c>
      <c r="F55" s="19"/>
      <c r="G55" s="218"/>
      <c r="H55" s="14">
        <v>0</v>
      </c>
      <c r="I55" s="14">
        <v>0</v>
      </c>
    </row>
    <row r="56" spans="1:9">
      <c r="A56" s="13" t="s">
        <v>891</v>
      </c>
      <c r="B56" s="326" t="s">
        <v>857</v>
      </c>
      <c r="C56" s="14">
        <v>0</v>
      </c>
      <c r="D56" s="24"/>
      <c r="E56" s="210">
        <v>0</v>
      </c>
      <c r="F56" s="19"/>
      <c r="G56" s="218"/>
      <c r="H56" s="14">
        <v>0</v>
      </c>
      <c r="I56" s="14">
        <v>0</v>
      </c>
    </row>
    <row r="57" spans="1:9">
      <c r="A57" s="13"/>
      <c r="B57" s="326"/>
      <c r="C57" s="14"/>
      <c r="D57" s="24"/>
      <c r="E57" s="210"/>
      <c r="F57" s="19"/>
      <c r="G57" s="218"/>
      <c r="H57" s="14"/>
      <c r="I57" s="14"/>
    </row>
    <row r="58" spans="1:9">
      <c r="A58" s="13"/>
      <c r="B58" s="326"/>
      <c r="C58" s="14"/>
      <c r="D58" s="24"/>
      <c r="E58" s="210"/>
      <c r="F58" s="19"/>
      <c r="G58" s="218"/>
      <c r="H58" s="14"/>
      <c r="I58" s="14"/>
    </row>
    <row r="59" spans="1:9">
      <c r="A59" s="13"/>
      <c r="B59" s="326"/>
      <c r="C59" s="14"/>
      <c r="D59" s="24"/>
      <c r="E59" s="210"/>
      <c r="F59" s="19"/>
      <c r="G59" s="218"/>
      <c r="H59" s="14"/>
      <c r="I59" s="14"/>
    </row>
    <row r="60" spans="1:9">
      <c r="A60" s="13"/>
      <c r="B60" s="326"/>
      <c r="C60" s="14"/>
      <c r="D60" s="24"/>
      <c r="E60" s="210"/>
      <c r="F60" s="19"/>
      <c r="G60" s="218"/>
      <c r="H60" s="14"/>
      <c r="I60" s="14"/>
    </row>
    <row r="61" spans="1:9" s="1" customFormat="1">
      <c r="A61" s="10" t="s">
        <v>892</v>
      </c>
      <c r="B61" s="327"/>
      <c r="C61" s="15">
        <f>SUM(C63:C71)</f>
        <v>4134836</v>
      </c>
      <c r="D61" s="15">
        <f>SUM(D63:D71)</f>
        <v>1688667.1</v>
      </c>
      <c r="E61" s="213">
        <f>SUM(E62:E71)</f>
        <v>2773112.6100000003</v>
      </c>
      <c r="F61" s="213">
        <f>SUM(F62:F71)</f>
        <v>2773112.6100000003</v>
      </c>
      <c r="G61" s="213">
        <f>SUM(G62:G71)</f>
        <v>1414994.59</v>
      </c>
      <c r="H61" s="16">
        <f>SUM(H63:H71)</f>
        <v>1800000</v>
      </c>
      <c r="I61" s="16">
        <f>SUM(I63:I71)</f>
        <v>6539102</v>
      </c>
    </row>
    <row r="62" spans="1:9">
      <c r="A62" s="13"/>
      <c r="B62" s="326"/>
      <c r="C62" s="14"/>
      <c r="D62" s="24"/>
      <c r="E62" s="210"/>
      <c r="F62" s="19"/>
      <c r="G62" s="218"/>
      <c r="H62" s="14"/>
      <c r="I62" s="14"/>
    </row>
    <row r="63" spans="1:9">
      <c r="A63" s="13" t="s">
        <v>893</v>
      </c>
      <c r="B63" s="326" t="s">
        <v>856</v>
      </c>
      <c r="C63" s="14">
        <v>2039086</v>
      </c>
      <c r="D63" s="24">
        <v>262787</v>
      </c>
      <c r="E63" s="210">
        <v>73112.61</v>
      </c>
      <c r="F63" s="19">
        <v>73112.61</v>
      </c>
      <c r="G63" s="218"/>
      <c r="H63" s="19">
        <v>0</v>
      </c>
      <c r="I63" s="19">
        <v>1230000</v>
      </c>
    </row>
    <row r="64" spans="1:9">
      <c r="A64" s="13" t="s">
        <v>894</v>
      </c>
      <c r="B64" s="326" t="s">
        <v>856</v>
      </c>
      <c r="C64" s="14">
        <v>1595750</v>
      </c>
      <c r="D64" s="24">
        <v>948969</v>
      </c>
      <c r="E64" s="210"/>
      <c r="F64" s="19"/>
      <c r="G64" s="218"/>
      <c r="H64" s="19">
        <v>0</v>
      </c>
      <c r="I64" s="19">
        <v>342890</v>
      </c>
    </row>
    <row r="65" spans="1:9">
      <c r="A65" s="13" t="s">
        <v>1131</v>
      </c>
      <c r="B65" s="326" t="s">
        <v>856</v>
      </c>
      <c r="C65" s="14"/>
      <c r="D65" s="24"/>
      <c r="E65" s="210"/>
      <c r="F65" s="19"/>
      <c r="G65" s="218">
        <v>1414994.59</v>
      </c>
      <c r="H65" s="19"/>
      <c r="I65" s="19">
        <v>444000</v>
      </c>
    </row>
    <row r="66" spans="1:9">
      <c r="A66" s="13" t="s">
        <v>895</v>
      </c>
      <c r="B66" s="326" t="s">
        <v>857</v>
      </c>
      <c r="C66" s="14">
        <v>0</v>
      </c>
      <c r="D66" s="24"/>
      <c r="E66" s="210">
        <v>1200000</v>
      </c>
      <c r="F66" s="19">
        <v>1200000</v>
      </c>
      <c r="G66" s="218">
        <v>0</v>
      </c>
      <c r="H66" s="19"/>
      <c r="I66" s="19"/>
    </row>
    <row r="67" spans="1:9">
      <c r="A67" s="13" t="s">
        <v>933</v>
      </c>
      <c r="B67" s="326" t="s">
        <v>857</v>
      </c>
      <c r="C67" s="14"/>
      <c r="D67" s="24"/>
      <c r="E67" s="210">
        <v>0</v>
      </c>
      <c r="F67" s="19"/>
      <c r="G67" s="218"/>
      <c r="H67" s="19"/>
      <c r="I67" s="19"/>
    </row>
    <row r="68" spans="1:9">
      <c r="A68" s="13" t="s">
        <v>885</v>
      </c>
      <c r="B68" s="326" t="s">
        <v>857</v>
      </c>
      <c r="C68" s="14">
        <v>0</v>
      </c>
      <c r="D68" s="24"/>
      <c r="E68" s="210"/>
      <c r="F68" s="19"/>
      <c r="G68" s="218"/>
      <c r="H68" s="19"/>
      <c r="I68" s="19"/>
    </row>
    <row r="69" spans="1:9">
      <c r="A69" s="13" t="s">
        <v>896</v>
      </c>
      <c r="B69" s="326" t="s">
        <v>659</v>
      </c>
      <c r="C69" s="14"/>
      <c r="D69" s="24"/>
      <c r="E69" s="210">
        <v>0</v>
      </c>
      <c r="F69" s="19"/>
      <c r="G69" s="218"/>
      <c r="H69" s="19">
        <v>0</v>
      </c>
      <c r="I69" s="19">
        <f>1455222+500879</f>
        <v>1956101</v>
      </c>
    </row>
    <row r="70" spans="1:9">
      <c r="A70" s="13" t="s">
        <v>897</v>
      </c>
      <c r="B70" s="326" t="s">
        <v>857</v>
      </c>
      <c r="C70" s="14">
        <v>500000</v>
      </c>
      <c r="D70" s="24">
        <v>476911.1</v>
      </c>
      <c r="E70" s="210">
        <v>1500000</v>
      </c>
      <c r="F70" s="19">
        <v>1500000</v>
      </c>
      <c r="G70" s="218">
        <v>0</v>
      </c>
      <c r="H70" s="19">
        <v>1800000</v>
      </c>
      <c r="I70" s="19">
        <v>2566111</v>
      </c>
    </row>
    <row r="71" spans="1:9">
      <c r="A71" s="13"/>
      <c r="B71" s="326"/>
      <c r="C71" s="14"/>
      <c r="D71" s="24"/>
      <c r="E71" s="210"/>
      <c r="F71" s="19"/>
      <c r="G71" s="218"/>
      <c r="H71" s="19"/>
      <c r="I71" s="19"/>
    </row>
    <row r="72" spans="1:9">
      <c r="A72" s="10" t="s">
        <v>149</v>
      </c>
      <c r="B72" s="327"/>
      <c r="C72" s="15">
        <f>SUM(C74:C78)</f>
        <v>5134063</v>
      </c>
      <c r="D72" s="15">
        <f>SUM(D74:D78)</f>
        <v>6021538</v>
      </c>
      <c r="E72" s="213">
        <f>SUM(E74:E78)</f>
        <v>6902626.8399999999</v>
      </c>
      <c r="F72" s="213">
        <f>SUM(F74:F78)</f>
        <v>4120103.11</v>
      </c>
      <c r="G72" s="213">
        <f>SUM(G73:G78)</f>
        <v>0</v>
      </c>
      <c r="H72" s="16">
        <f>SUM(H74:H78)</f>
        <v>0</v>
      </c>
      <c r="I72" s="16">
        <f>SUM(I74:I78)</f>
        <v>0</v>
      </c>
    </row>
    <row r="73" spans="1:9">
      <c r="A73" s="13"/>
      <c r="B73" s="326"/>
      <c r="C73" s="14"/>
      <c r="D73" s="24"/>
      <c r="E73" s="210"/>
      <c r="F73" s="19"/>
      <c r="G73" s="218"/>
      <c r="H73" s="14"/>
      <c r="I73" s="14"/>
    </row>
    <row r="74" spans="1:9">
      <c r="A74" s="13" t="s">
        <v>898</v>
      </c>
      <c r="B74" s="326" t="s">
        <v>856</v>
      </c>
      <c r="C74" s="14">
        <v>5134063</v>
      </c>
      <c r="D74" s="24">
        <v>6021538</v>
      </c>
      <c r="E74" s="210">
        <v>1843841.67</v>
      </c>
      <c r="F74" s="19">
        <v>1803353.21</v>
      </c>
      <c r="G74" s="336"/>
      <c r="H74" s="14">
        <v>0</v>
      </c>
      <c r="I74" s="14">
        <v>0</v>
      </c>
    </row>
    <row r="75" spans="1:9">
      <c r="A75" s="13" t="s">
        <v>899</v>
      </c>
      <c r="B75" s="326" t="s">
        <v>856</v>
      </c>
      <c r="C75" s="14">
        <v>0</v>
      </c>
      <c r="D75" s="24"/>
      <c r="E75" s="210">
        <v>0</v>
      </c>
      <c r="F75" s="19"/>
      <c r="G75" s="218"/>
      <c r="H75" s="14"/>
      <c r="I75" s="14"/>
    </row>
    <row r="76" spans="1:9">
      <c r="A76" s="13" t="s">
        <v>913</v>
      </c>
      <c r="B76" s="326" t="s">
        <v>856</v>
      </c>
      <c r="C76" s="14"/>
      <c r="D76" s="24"/>
      <c r="E76" s="210">
        <v>5058785.17</v>
      </c>
      <c r="F76" s="19">
        <v>2316749.9</v>
      </c>
      <c r="G76" s="218">
        <v>4098843.75</v>
      </c>
      <c r="H76" s="14">
        <v>4780644.03</v>
      </c>
      <c r="I76" s="14">
        <v>5000000</v>
      </c>
    </row>
    <row r="77" spans="1:9">
      <c r="A77" s="13"/>
      <c r="B77" s="326"/>
      <c r="C77" s="14"/>
      <c r="D77" s="24"/>
      <c r="E77" s="210"/>
      <c r="F77" s="19"/>
      <c r="G77" s="218"/>
      <c r="H77" s="14"/>
      <c r="I77" s="14"/>
    </row>
    <row r="78" spans="1:9">
      <c r="A78" s="13"/>
      <c r="B78" s="326"/>
      <c r="C78" s="14"/>
      <c r="D78" s="24"/>
      <c r="E78" s="210"/>
      <c r="F78" s="19"/>
      <c r="G78" s="218"/>
      <c r="H78" s="14"/>
      <c r="I78" s="14"/>
    </row>
    <row r="79" spans="1:9">
      <c r="A79" s="10" t="s">
        <v>900</v>
      </c>
      <c r="B79" s="327"/>
      <c r="C79" s="15">
        <f>SUM(C81:C85)</f>
        <v>400000</v>
      </c>
      <c r="D79" s="15">
        <f>SUM(D81:D85)</f>
        <v>0</v>
      </c>
      <c r="E79" s="213">
        <f>SUM(E81:E86)</f>
        <v>6091287.21</v>
      </c>
      <c r="F79" s="213">
        <f>SUM(F81:F86)</f>
        <v>4007754.23</v>
      </c>
      <c r="G79" s="213">
        <f>SUM(G81:G89)</f>
        <v>11410187.68</v>
      </c>
      <c r="H79" s="16">
        <f>SUM(H81:H85)</f>
        <v>0</v>
      </c>
      <c r="I79" s="16">
        <f>SUM(I81:I85)</f>
        <v>1234890</v>
      </c>
    </row>
    <row r="80" spans="1:9">
      <c r="A80" s="13"/>
      <c r="B80" s="326"/>
      <c r="C80" s="14"/>
      <c r="D80" s="24"/>
      <c r="E80" s="210"/>
      <c r="F80" s="19"/>
      <c r="G80" s="218"/>
      <c r="H80" s="14"/>
      <c r="I80" s="14"/>
    </row>
    <row r="81" spans="1:9">
      <c r="A81" s="13" t="s">
        <v>901</v>
      </c>
      <c r="B81" s="328" t="s">
        <v>856</v>
      </c>
      <c r="C81" s="14"/>
      <c r="D81" s="24"/>
      <c r="E81" s="210">
        <v>0</v>
      </c>
      <c r="F81" s="19"/>
      <c r="G81" s="218"/>
      <c r="H81" s="19">
        <v>1324578</v>
      </c>
      <c r="I81" s="19">
        <v>5607166</v>
      </c>
    </row>
    <row r="82" spans="1:9">
      <c r="A82" s="13" t="s">
        <v>914</v>
      </c>
      <c r="B82" s="328" t="s">
        <v>856</v>
      </c>
      <c r="C82" s="14"/>
      <c r="D82" s="24"/>
      <c r="E82" s="210">
        <v>5191287.21</v>
      </c>
      <c r="F82" s="19">
        <v>3017754.23</v>
      </c>
      <c r="G82" s="218">
        <v>3892266.73</v>
      </c>
      <c r="H82" s="19">
        <v>0</v>
      </c>
      <c r="I82" s="19">
        <v>1234890</v>
      </c>
    </row>
    <row r="83" spans="1:9">
      <c r="A83" s="13" t="s">
        <v>902</v>
      </c>
      <c r="B83" s="328" t="s">
        <v>857</v>
      </c>
      <c r="C83" s="14">
        <v>400000</v>
      </c>
      <c r="D83" s="24"/>
      <c r="E83" s="210">
        <v>800000</v>
      </c>
      <c r="F83" s="19">
        <v>950000</v>
      </c>
      <c r="G83" s="218">
        <v>0</v>
      </c>
      <c r="H83" s="14"/>
      <c r="I83" s="14"/>
    </row>
    <row r="84" spans="1:9">
      <c r="A84" s="13" t="s">
        <v>903</v>
      </c>
      <c r="B84" s="328" t="s">
        <v>904</v>
      </c>
      <c r="C84" s="14"/>
      <c r="D84" s="24">
        <v>0</v>
      </c>
      <c r="E84" s="210"/>
      <c r="F84" s="19"/>
      <c r="G84" s="218"/>
      <c r="H84" s="14"/>
      <c r="I84" s="14"/>
    </row>
    <row r="85" spans="1:9">
      <c r="A85" s="13" t="s">
        <v>905</v>
      </c>
      <c r="B85" s="328" t="s">
        <v>904</v>
      </c>
      <c r="C85" s="14"/>
      <c r="D85" s="24">
        <v>0</v>
      </c>
      <c r="E85" s="210"/>
      <c r="F85" s="19"/>
      <c r="G85" s="218"/>
      <c r="H85" s="14"/>
      <c r="I85" s="14"/>
    </row>
    <row r="86" spans="1:9">
      <c r="A86" s="13" t="s">
        <v>937</v>
      </c>
      <c r="B86" s="328" t="s">
        <v>857</v>
      </c>
      <c r="C86" s="14"/>
      <c r="D86" s="24"/>
      <c r="E86" s="210">
        <v>100000</v>
      </c>
      <c r="F86" s="19">
        <v>40000</v>
      </c>
      <c r="G86" s="218"/>
      <c r="H86" s="14"/>
      <c r="I86" s="14"/>
    </row>
    <row r="87" spans="1:9">
      <c r="A87" s="13" t="s">
        <v>1127</v>
      </c>
      <c r="B87" s="328" t="s">
        <v>856</v>
      </c>
      <c r="C87" s="14"/>
      <c r="D87" s="24"/>
      <c r="E87" s="210"/>
      <c r="F87" s="19"/>
      <c r="G87" s="218">
        <v>3695524.71</v>
      </c>
      <c r="H87" s="14"/>
      <c r="I87" s="14"/>
    </row>
    <row r="88" spans="1:9">
      <c r="A88" s="13" t="s">
        <v>1128</v>
      </c>
      <c r="B88" s="328" t="s">
        <v>856</v>
      </c>
      <c r="C88" s="14"/>
      <c r="D88" s="24"/>
      <c r="E88" s="210"/>
      <c r="F88" s="19"/>
      <c r="G88" s="218">
        <v>3822396.24</v>
      </c>
      <c r="H88" s="14"/>
      <c r="I88" s="14"/>
    </row>
    <row r="89" spans="1:9">
      <c r="A89" s="13"/>
      <c r="B89" s="328"/>
      <c r="C89" s="14"/>
      <c r="D89" s="24"/>
      <c r="E89" s="210"/>
      <c r="F89" s="19"/>
      <c r="G89" s="218"/>
      <c r="H89" s="14"/>
      <c r="I89" s="14"/>
    </row>
    <row r="90" spans="1:9" s="22" customFormat="1" ht="15.75" thickBot="1">
      <c r="A90" s="307" t="s">
        <v>906</v>
      </c>
      <c r="B90" s="329"/>
      <c r="C90" s="308">
        <f>SUM(C79+C72+C61+C47+C29+C20+C10+C4)</f>
        <v>55293000</v>
      </c>
      <c r="D90" s="309">
        <f>SUM(D79+D72+D61+D47+D29+D20+D10+D4)</f>
        <v>54548911.100000001</v>
      </c>
      <c r="E90" s="308">
        <f>E79+E72+E61+E47+E29+E20+E10+E4</f>
        <v>67597000</v>
      </c>
      <c r="F90" s="308">
        <f>F79+F72+F61+F47+F29+F20+F10+F4</f>
        <v>67767000</v>
      </c>
      <c r="G90" s="308">
        <f>G79+G72+G61+G47+G29+G20+G10+G4</f>
        <v>34427029.18</v>
      </c>
      <c r="H90" s="310">
        <f>SUM(H79+H72+H61+H47+H29+H20+H10+H4)</f>
        <v>7049700</v>
      </c>
      <c r="I90" s="310">
        <f>SUM(I79+I72+I61+I47+I29+I20+I10+I4)</f>
        <v>61313388</v>
      </c>
    </row>
    <row r="91" spans="1:9">
      <c r="A91" s="8"/>
      <c r="B91" s="330"/>
      <c r="C91" s="9"/>
      <c r="D91" s="23"/>
      <c r="E91" s="208"/>
      <c r="F91" s="256"/>
      <c r="G91" s="217"/>
      <c r="H91" s="9"/>
      <c r="I91" s="9"/>
    </row>
    <row r="92" spans="1:9" s="1" customFormat="1">
      <c r="A92" s="17" t="s">
        <v>907</v>
      </c>
      <c r="B92" s="328"/>
      <c r="C92" s="18"/>
      <c r="D92" s="24"/>
      <c r="E92" s="211"/>
      <c r="F92" s="257"/>
      <c r="G92" s="219"/>
      <c r="H92" s="18"/>
      <c r="I92" s="18"/>
    </row>
    <row r="93" spans="1:9">
      <c r="A93" s="13"/>
      <c r="B93" s="328"/>
      <c r="C93" s="14"/>
      <c r="D93" s="24"/>
      <c r="E93" s="210"/>
      <c r="F93" s="19"/>
      <c r="G93" s="218"/>
      <c r="H93" s="14"/>
      <c r="I93" s="14"/>
    </row>
    <row r="94" spans="1:9" s="1" customFormat="1">
      <c r="A94" s="17" t="s">
        <v>908</v>
      </c>
      <c r="B94" s="328" t="s">
        <v>659</v>
      </c>
      <c r="C94" s="18">
        <v>12000000</v>
      </c>
      <c r="D94" s="312">
        <v>20000000</v>
      </c>
      <c r="E94" s="211">
        <v>30000000</v>
      </c>
      <c r="F94" s="257">
        <v>30000000</v>
      </c>
      <c r="G94" s="219">
        <f>G23+G31+G32+G33+G35+G43+G45+G69</f>
        <v>18016159.689999998</v>
      </c>
      <c r="H94" s="257">
        <v>0</v>
      </c>
      <c r="I94" s="257">
        <f>I23+I31+I32+I33+I43+I69</f>
        <v>42410544</v>
      </c>
    </row>
    <row r="95" spans="1:9" s="1" customFormat="1">
      <c r="A95" s="17" t="s">
        <v>909</v>
      </c>
      <c r="B95" s="328" t="s">
        <v>856</v>
      </c>
      <c r="C95" s="18">
        <v>32297000</v>
      </c>
      <c r="D95" s="312">
        <v>26572000</v>
      </c>
      <c r="E95" s="211">
        <v>24633000</v>
      </c>
      <c r="F95" s="257">
        <v>24633000</v>
      </c>
      <c r="G95" s="219">
        <f>G13+G14+G15+G16+G17+G18+G22+G24+G25+G34+G36+G38+G39+G40+G46+G63+G64+G65+G76+G75+G81+G82+G87+G88</f>
        <v>16410869.49</v>
      </c>
      <c r="H95" s="257">
        <f>H13+H14+H15+H16+H18+H24+H36+H76+H81</f>
        <v>2789700</v>
      </c>
      <c r="I95" s="257">
        <f>I13+I14+I15+I16+I24+I25+I36+I63+I64+I65+I76+I81+I82</f>
        <v>24803755</v>
      </c>
    </row>
    <row r="96" spans="1:9" s="1" customFormat="1">
      <c r="A96" s="17" t="s">
        <v>910</v>
      </c>
      <c r="B96" s="328" t="s">
        <v>820</v>
      </c>
      <c r="C96" s="18">
        <v>5000000</v>
      </c>
      <c r="D96" s="312">
        <v>5300000</v>
      </c>
      <c r="E96" s="211">
        <v>3240000</v>
      </c>
      <c r="F96" s="257">
        <v>3240000</v>
      </c>
      <c r="G96" s="219">
        <v>0</v>
      </c>
      <c r="H96" s="18">
        <v>0</v>
      </c>
      <c r="I96" s="18">
        <v>0</v>
      </c>
    </row>
    <row r="97" spans="1:9" s="1" customFormat="1">
      <c r="A97" s="17" t="s">
        <v>1027</v>
      </c>
      <c r="B97" s="328" t="s">
        <v>1027</v>
      </c>
      <c r="C97" s="18"/>
      <c r="D97" s="312"/>
      <c r="E97" s="211">
        <v>4900000</v>
      </c>
      <c r="F97" s="257">
        <v>4900000</v>
      </c>
      <c r="G97" s="219"/>
      <c r="H97" s="18"/>
      <c r="I97" s="18"/>
    </row>
    <row r="98" spans="1:9" s="1" customFormat="1">
      <c r="A98" s="17" t="s">
        <v>911</v>
      </c>
      <c r="B98" s="328" t="s">
        <v>857</v>
      </c>
      <c r="C98" s="18">
        <v>5996000</v>
      </c>
      <c r="D98" s="312">
        <v>4150000</v>
      </c>
      <c r="E98" s="211">
        <v>4824000</v>
      </c>
      <c r="F98" s="257">
        <v>4994000</v>
      </c>
      <c r="G98" s="359">
        <f>G6+G7+G8+G12+G30+G37+G42+G44+G51+G52+G53+G54+G55+G56+G66+G67+G68+G83+G86</f>
        <v>0</v>
      </c>
      <c r="H98" s="18">
        <f>H6+H7+H30+H37+H70</f>
        <v>4260000</v>
      </c>
      <c r="I98" s="18">
        <f>I6+I7+I30+I37+I70</f>
        <v>6166111</v>
      </c>
    </row>
    <row r="99" spans="1:9" s="1" customFormat="1">
      <c r="A99" s="17"/>
      <c r="B99" s="328"/>
      <c r="C99" s="18"/>
      <c r="D99" s="312"/>
      <c r="E99" s="211"/>
      <c r="F99" s="257"/>
      <c r="G99" s="219"/>
      <c r="H99" s="18"/>
      <c r="I99" s="18"/>
    </row>
    <row r="100" spans="1:9" s="1" customFormat="1">
      <c r="A100" s="313" t="s">
        <v>912</v>
      </c>
      <c r="B100" s="331"/>
      <c r="C100" s="314">
        <f t="shared" ref="C100:I100" si="3">SUM(C94:C98)</f>
        <v>55293000</v>
      </c>
      <c r="D100" s="314">
        <f t="shared" si="3"/>
        <v>56022000</v>
      </c>
      <c r="E100" s="314">
        <f t="shared" si="3"/>
        <v>67597000</v>
      </c>
      <c r="F100" s="314">
        <f t="shared" si="3"/>
        <v>67767000</v>
      </c>
      <c r="G100" s="314">
        <f t="shared" si="3"/>
        <v>34427029.18</v>
      </c>
      <c r="H100" s="314">
        <f t="shared" si="3"/>
        <v>7049700</v>
      </c>
      <c r="I100" s="314">
        <f t="shared" si="3"/>
        <v>73380410</v>
      </c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"/>
  <sheetViews>
    <sheetView topLeftCell="C1" zoomScaleNormal="100" workbookViewId="0">
      <selection activeCell="K22" sqref="K22"/>
    </sheetView>
  </sheetViews>
  <sheetFormatPr defaultRowHeight="15"/>
  <cols>
    <col min="3" max="3" width="19.140625" bestFit="1" customWidth="1"/>
    <col min="4" max="4" width="26" bestFit="1" customWidth="1"/>
    <col min="5" max="5" width="24" hidden="1" customWidth="1"/>
    <col min="6" max="6" width="19.7109375" bestFit="1" customWidth="1"/>
    <col min="7" max="7" width="23.140625" style="27" hidden="1" customWidth="1"/>
    <col min="8" max="8" width="26" style="27" bestFit="1" customWidth="1"/>
    <col min="9" max="11" width="26" style="27" customWidth="1"/>
    <col min="12" max="12" width="13.140625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27"/>
      <c r="M1" s="27"/>
    </row>
    <row r="2" spans="1:13" s="1" customFormat="1" ht="15.75" thickBot="1">
      <c r="A2" s="151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76" t="s">
        <v>1104</v>
      </c>
      <c r="H2" s="176" t="s">
        <v>1103</v>
      </c>
      <c r="I2" s="176" t="s">
        <v>1118</v>
      </c>
      <c r="J2" s="176" t="s">
        <v>1123</v>
      </c>
      <c r="K2" s="231"/>
      <c r="L2" s="44"/>
      <c r="M2" s="44"/>
    </row>
    <row r="3" spans="1:13">
      <c r="A3" s="13">
        <v>268</v>
      </c>
      <c r="B3" s="13">
        <v>256</v>
      </c>
      <c r="C3" s="13" t="s">
        <v>350</v>
      </c>
      <c r="D3" s="117">
        <v>8580600</v>
      </c>
      <c r="E3" s="117">
        <v>4887629.16</v>
      </c>
      <c r="F3" s="117">
        <v>9419663</v>
      </c>
      <c r="G3" s="136">
        <v>2190490.56</v>
      </c>
      <c r="H3" s="117">
        <v>4380981</v>
      </c>
      <c r="I3" s="235">
        <v>2737844.56</v>
      </c>
      <c r="J3" s="80">
        <f>'COMMUNITY SERVICES'!J255</f>
        <v>4693447.81714286</v>
      </c>
      <c r="K3" s="40">
        <f>I3/7*12</f>
        <v>4693447.8171428572</v>
      </c>
      <c r="L3" s="140"/>
      <c r="M3" s="27"/>
    </row>
    <row r="4" spans="1:13" s="182" customFormat="1" ht="16.5" customHeight="1">
      <c r="A4" s="88">
        <v>274</v>
      </c>
      <c r="B4" s="88">
        <v>256</v>
      </c>
      <c r="C4" s="88" t="s">
        <v>350</v>
      </c>
      <c r="D4" s="123">
        <v>345560</v>
      </c>
      <c r="E4" s="123">
        <v>310059.17</v>
      </c>
      <c r="F4" s="123">
        <v>0</v>
      </c>
      <c r="G4" s="168">
        <v>132722.46</v>
      </c>
      <c r="H4" s="123">
        <v>265445</v>
      </c>
      <c r="I4" s="235">
        <v>166291.82999999999</v>
      </c>
      <c r="J4" s="89">
        <f>FINANCE!J26</f>
        <v>300000</v>
      </c>
      <c r="K4" s="40">
        <f>I4/7*12</f>
        <v>285071.70857142855</v>
      </c>
      <c r="L4" s="165">
        <f>+E4/8*12</f>
        <v>465088.755</v>
      </c>
    </row>
    <row r="5" spans="1:13" s="35" customFormat="1">
      <c r="A5" s="79">
        <v>290</v>
      </c>
      <c r="B5" s="79">
        <v>256</v>
      </c>
      <c r="C5" s="79" t="s">
        <v>350</v>
      </c>
      <c r="D5" s="117">
        <v>3580600</v>
      </c>
      <c r="E5" s="117">
        <v>1687347.6</v>
      </c>
      <c r="F5" s="117">
        <v>3580629</v>
      </c>
      <c r="G5" s="136">
        <v>978160.43</v>
      </c>
      <c r="H5" s="117">
        <v>3580629</v>
      </c>
      <c r="I5" s="235">
        <v>1192759.8500000001</v>
      </c>
      <c r="J5" s="84">
        <v>2044731.1714285701</v>
      </c>
      <c r="K5" s="40">
        <f>I5/7*12</f>
        <v>2044731.1714285717</v>
      </c>
      <c r="L5" s="165">
        <f>+E5/8*12</f>
        <v>2531021.4000000004</v>
      </c>
    </row>
    <row r="6" spans="1:13" s="35" customFormat="1">
      <c r="A6" s="79">
        <v>291</v>
      </c>
      <c r="B6" s="79">
        <v>256</v>
      </c>
      <c r="C6" s="79" t="s">
        <v>350</v>
      </c>
      <c r="D6" s="117">
        <v>5000000</v>
      </c>
      <c r="E6" s="117">
        <v>4221848.96</v>
      </c>
      <c r="F6" s="117">
        <v>8138078</v>
      </c>
      <c r="G6" s="136">
        <v>1888828.04</v>
      </c>
      <c r="H6" s="117">
        <v>3777656</v>
      </c>
      <c r="I6" s="235">
        <v>2362785.7000000002</v>
      </c>
      <c r="J6" s="84">
        <v>4050489.7714285715</v>
      </c>
      <c r="K6" s="40">
        <f>I6/7*12</f>
        <v>4050489.7714285715</v>
      </c>
      <c r="L6" s="165">
        <f>+E6/8*12</f>
        <v>6332773.4399999995</v>
      </c>
    </row>
    <row r="7" spans="1:13" s="35" customFormat="1">
      <c r="A7" s="79">
        <v>293</v>
      </c>
      <c r="B7" s="79">
        <v>256</v>
      </c>
      <c r="C7" s="79" t="s">
        <v>350</v>
      </c>
      <c r="D7" s="117">
        <v>8098000</v>
      </c>
      <c r="E7" s="117">
        <v>5891911.1100000003</v>
      </c>
      <c r="F7" s="117">
        <v>1360641</v>
      </c>
      <c r="G7" s="136">
        <v>2661515.67</v>
      </c>
      <c r="H7" s="117">
        <v>5323030</v>
      </c>
      <c r="I7" s="235">
        <v>3312533.21</v>
      </c>
      <c r="J7" s="84">
        <v>5678628.3599999994</v>
      </c>
      <c r="K7" s="40">
        <f>I7/7*12</f>
        <v>5678628.3599999994</v>
      </c>
      <c r="L7" s="165">
        <f>+E7/8*12</f>
        <v>8837866.665000001</v>
      </c>
    </row>
    <row r="9" spans="1:13" ht="15.75" thickBot="1">
      <c r="D9" s="62">
        <f t="shared" ref="D9:J9" si="0">D7+D6+D5+D4+D3</f>
        <v>25604760</v>
      </c>
      <c r="E9" s="62">
        <f t="shared" si="0"/>
        <v>16998796</v>
      </c>
      <c r="F9" s="62">
        <f t="shared" si="0"/>
        <v>22499011</v>
      </c>
      <c r="G9" s="62">
        <f t="shared" si="0"/>
        <v>7851717.1600000001</v>
      </c>
      <c r="H9" s="62">
        <f t="shared" si="0"/>
        <v>17327741</v>
      </c>
      <c r="I9" s="62">
        <f t="shared" si="0"/>
        <v>9772215.1500000004</v>
      </c>
      <c r="J9" s="62">
        <f t="shared" si="0"/>
        <v>16767297.120000001</v>
      </c>
      <c r="K9" s="55"/>
    </row>
    <row r="10" spans="1:13" ht="15.75" thickTop="1"/>
  </sheetData>
  <pageMargins left="0.7" right="0.7" top="0.75" bottom="0.7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ySplit="2" topLeftCell="A19" activePane="bottomLeft" state="frozen"/>
      <selection pane="bottomLeft" activeCell="H24" sqref="H24"/>
    </sheetView>
  </sheetViews>
  <sheetFormatPr defaultRowHeight="15"/>
  <cols>
    <col min="1" max="1" width="47" bestFit="1" customWidth="1"/>
    <col min="3" max="3" width="17.42578125" style="27" bestFit="1" customWidth="1"/>
    <col min="4" max="4" width="26" style="27" customWidth="1"/>
    <col min="5" max="6" width="15.85546875" hidden="1" customWidth="1"/>
    <col min="7" max="7" width="26" style="27" bestFit="1" customWidth="1"/>
    <col min="8" max="8" width="23.85546875" bestFit="1" customWidth="1"/>
    <col min="9" max="9" width="14.85546875" bestFit="1" customWidth="1"/>
    <col min="10" max="10" width="15.85546875" bestFit="1" customWidth="1"/>
  </cols>
  <sheetData>
    <row r="1" spans="1:8" s="1" customFormat="1" ht="15.75" thickBot="1">
      <c r="A1" s="205" t="s">
        <v>1119</v>
      </c>
      <c r="B1" s="60"/>
      <c r="C1" s="64"/>
      <c r="D1" s="41"/>
      <c r="G1" s="44"/>
    </row>
    <row r="2" spans="1:8" ht="15.75" thickBot="1">
      <c r="A2" s="147"/>
      <c r="B2" s="147"/>
      <c r="C2" s="204" t="s">
        <v>1102</v>
      </c>
      <c r="D2" s="152" t="s">
        <v>1103</v>
      </c>
      <c r="G2" s="152" t="s">
        <v>1123</v>
      </c>
    </row>
    <row r="3" spans="1:8" ht="15.75" thickBot="1">
      <c r="A3" s="60" t="s">
        <v>1009</v>
      </c>
      <c r="B3" s="42"/>
    </row>
    <row r="4" spans="1:8">
      <c r="E4" s="43" t="s">
        <v>1094</v>
      </c>
    </row>
    <row r="5" spans="1:8">
      <c r="A5" t="s">
        <v>1006</v>
      </c>
      <c r="C5" s="27">
        <f>FINANCE!F66</f>
        <v>-37549087</v>
      </c>
      <c r="D5" s="27">
        <f>FINANCE!H66</f>
        <v>-37549087</v>
      </c>
      <c r="E5" s="27">
        <f>FINANCE!K66</f>
        <v>-35423667.210000001</v>
      </c>
      <c r="F5" s="27">
        <f>FINANCE!L66</f>
        <v>-40175148.446400002</v>
      </c>
      <c r="G5" s="27">
        <f>FINANCE!J66</f>
        <v>-40175148.446400002</v>
      </c>
      <c r="H5" s="27"/>
    </row>
    <row r="6" spans="1:8">
      <c r="A6" t="s">
        <v>493</v>
      </c>
      <c r="C6" s="27">
        <f>FINANCE!F67</f>
        <v>18753079.395</v>
      </c>
      <c r="D6" s="27">
        <f>FINANCE!H67</f>
        <v>18753079.395</v>
      </c>
      <c r="E6" s="27">
        <v>5200000</v>
      </c>
      <c r="G6" s="27">
        <f>FINANCE!J67</f>
        <v>21446497.360800002</v>
      </c>
      <c r="H6" s="361"/>
    </row>
    <row r="7" spans="1:8">
      <c r="A7" t="s">
        <v>577</v>
      </c>
      <c r="C7" s="27">
        <f>TECHNICAL!F125+TECHNICAL!F126</f>
        <v>-44787932</v>
      </c>
      <c r="D7" s="27">
        <f>TECHNICAL!H125+TECHNICAL!H126</f>
        <v>-44787932</v>
      </c>
      <c r="E7" s="27">
        <f>C7*10/100+C7</f>
        <v>-49266725.200000003</v>
      </c>
      <c r="G7" s="27">
        <f>TECHNICAL!J125+TECHNICAL!J126</f>
        <v>-50017585.858210295</v>
      </c>
      <c r="H7" s="362">
        <f>G7/G18</f>
        <v>0.15410293825725457</v>
      </c>
    </row>
    <row r="8" spans="1:8">
      <c r="A8" t="s">
        <v>663</v>
      </c>
      <c r="C8" s="27">
        <f>TECHNICAL!F265</f>
        <v>-48760000</v>
      </c>
      <c r="D8" s="27">
        <f>TECHNICAL!H265</f>
        <v>-48760000</v>
      </c>
      <c r="E8" s="27">
        <f>C8*10/100+C8</f>
        <v>-53636000</v>
      </c>
      <c r="G8" s="27">
        <f>TECHNICAL!J265</f>
        <v>-55618307.108571425</v>
      </c>
      <c r="H8" s="362">
        <f>G8/G18</f>
        <v>0.17135862115820813</v>
      </c>
    </row>
    <row r="9" spans="1:8">
      <c r="A9" t="s">
        <v>930</v>
      </c>
      <c r="C9" s="27">
        <f>TECHNICAL!F187</f>
        <v>-24971059</v>
      </c>
      <c r="D9" s="27">
        <f>TECHNICAL!H187</f>
        <v>-24971059</v>
      </c>
      <c r="E9" s="27">
        <f>C9*10/100+C9</f>
        <v>-27468164.899999999</v>
      </c>
      <c r="G9" s="27">
        <f>TECHNICAL!J187</f>
        <v>-24562880.279657144</v>
      </c>
      <c r="H9" s="362">
        <f>G9/G18</f>
        <v>7.5677623344050413E-2</v>
      </c>
    </row>
    <row r="10" spans="1:8">
      <c r="A10" t="s">
        <v>369</v>
      </c>
      <c r="C10" s="27">
        <v>-24350099</v>
      </c>
      <c r="D10" s="27">
        <f>'COMMUNITY SERVICES'!H287</f>
        <v>-24350099</v>
      </c>
      <c r="E10" s="27">
        <f>C10*10/100+C10</f>
        <v>-26785108.899999999</v>
      </c>
      <c r="G10" s="27">
        <f>'COMMUNITY SERVICES'!J287</f>
        <v>-24766608.238571398</v>
      </c>
      <c r="H10" s="362">
        <f>G10/G18</f>
        <v>7.6305304119424863E-2</v>
      </c>
    </row>
    <row r="11" spans="1:8">
      <c r="A11" t="s">
        <v>1024</v>
      </c>
      <c r="C11" s="27">
        <f>'RENT REVENUE'!F8</f>
        <v>-408910.39</v>
      </c>
      <c r="D11" s="27">
        <f>'RENT REVENUE'!H8</f>
        <v>-366900</v>
      </c>
      <c r="E11" s="27">
        <f t="shared" ref="E11:E16" si="0">C11</f>
        <v>-408910.39</v>
      </c>
      <c r="G11" s="27">
        <f>'RENT REVENUE'!J8</f>
        <v>-326360.39428571396</v>
      </c>
      <c r="H11" s="362">
        <f>G11/G18</f>
        <v>1.0055082592909494E-3</v>
      </c>
    </row>
    <row r="12" spans="1:8">
      <c r="A12" t="s">
        <v>1007</v>
      </c>
      <c r="C12" s="27">
        <v>-12000000</v>
      </c>
      <c r="D12" s="27">
        <f>FINANCE!H73</f>
        <v>-22577416</v>
      </c>
      <c r="E12" s="27">
        <f t="shared" si="0"/>
        <v>-12000000</v>
      </c>
      <c r="G12" s="27">
        <f>FINANCE!J73</f>
        <v>-35727393</v>
      </c>
      <c r="H12" s="362">
        <f>G12/G18</f>
        <v>0.11007520941093001</v>
      </c>
    </row>
    <row r="13" spans="1:8">
      <c r="A13" t="s">
        <v>1008</v>
      </c>
      <c r="C13" s="27">
        <v>-644000</v>
      </c>
      <c r="D13" s="27">
        <f>FINANCE!H74</f>
        <v>-600000</v>
      </c>
      <c r="E13" s="27">
        <f t="shared" si="0"/>
        <v>-644000</v>
      </c>
      <c r="G13" s="27">
        <f>FINANCE!J74</f>
        <v>-400000</v>
      </c>
      <c r="H13" s="362">
        <f>G13/G18</f>
        <v>1.2323900533232862E-3</v>
      </c>
    </row>
    <row r="14" spans="1:8">
      <c r="A14" t="s">
        <v>1025</v>
      </c>
      <c r="C14" s="27">
        <v>-180000</v>
      </c>
      <c r="D14" s="27">
        <f>'COMMUNITY SERVICES'!H323</f>
        <v>-180000</v>
      </c>
      <c r="E14" s="27">
        <f t="shared" si="0"/>
        <v>-180000</v>
      </c>
      <c r="G14" s="38">
        <f>'COMMUNITY SERVICES'!J325</f>
        <v>-200000</v>
      </c>
      <c r="H14" s="362">
        <f>G14/G18</f>
        <v>6.161950266616431E-4</v>
      </c>
    </row>
    <row r="15" spans="1:8">
      <c r="A15" t="s">
        <v>1010</v>
      </c>
      <c r="C15" s="27">
        <f>GRANTS!G55</f>
        <v>-84163000</v>
      </c>
      <c r="D15" s="27">
        <f>GRANTS!H55</f>
        <v>-84163000</v>
      </c>
      <c r="E15" s="27">
        <f t="shared" si="0"/>
        <v>-84163000</v>
      </c>
      <c r="G15" s="27">
        <f>GRANTS!I55</f>
        <v>-83002000</v>
      </c>
      <c r="H15" s="362">
        <f>G15/G18</f>
        <v>0.2557270980148485</v>
      </c>
    </row>
    <row r="16" spans="1:8">
      <c r="A16" t="s">
        <v>1011</v>
      </c>
      <c r="C16" s="38">
        <f>'OTHER REVENUE'!D72+-172343.68</f>
        <v>-51867205.740000002</v>
      </c>
      <c r="D16" s="38">
        <f>'OTHER REVENUE'!F72</f>
        <v>-32228299.895</v>
      </c>
      <c r="E16" s="27">
        <f t="shared" si="0"/>
        <v>-51867205.740000002</v>
      </c>
      <c r="G16" s="27">
        <f>'OTHER REVENUE'!H72</f>
        <v>-31222778.477142856</v>
      </c>
      <c r="H16" s="362">
        <f>G16/G18</f>
        <v>9.6196604080868095E-2</v>
      </c>
    </row>
    <row r="17" spans="1:8">
      <c r="F17" s="40">
        <f>'SUMMARY- PER DEPT'!B41</f>
        <v>-310928213.74000001</v>
      </c>
      <c r="H17" s="362">
        <f>G17/G18</f>
        <v>0</v>
      </c>
    </row>
    <row r="18" spans="1:8" ht="15.75" thickBot="1">
      <c r="A18" s="65" t="s">
        <v>1012</v>
      </c>
      <c r="B18" s="57"/>
      <c r="C18" s="62">
        <f>SUM(C5:C17)</f>
        <v>-310928213.73500001</v>
      </c>
      <c r="D18" s="62">
        <f>SUM(D5:D17)</f>
        <v>-301780713.5</v>
      </c>
      <c r="E18" s="62">
        <f>SUM(E5:E17)</f>
        <v>-336642782.34000003</v>
      </c>
      <c r="F18" s="62">
        <f>SUM(F5:F17)</f>
        <v>-351103362.1864</v>
      </c>
      <c r="G18" s="62">
        <f>SUM(G5:G17)</f>
        <v>-324572564.44203883</v>
      </c>
      <c r="H18" s="362">
        <f>G18/G18</f>
        <v>1</v>
      </c>
    </row>
    <row r="19" spans="1:8" ht="16.5" thickTop="1" thickBot="1">
      <c r="F19" s="50">
        <f>F17-F18</f>
        <v>40175148.446399987</v>
      </c>
    </row>
    <row r="20" spans="1:8" ht="15.75" thickTop="1"/>
    <row r="21" spans="1:8" ht="15.75" thickBot="1">
      <c r="A21" s="60" t="s">
        <v>1013</v>
      </c>
    </row>
    <row r="23" spans="1:8">
      <c r="A23" t="s">
        <v>921</v>
      </c>
      <c r="C23" s="27">
        <f>70986000+1001441.79</f>
        <v>71987441.790000007</v>
      </c>
      <c r="D23" s="27">
        <f>SALARIES!H277</f>
        <v>70879339.513316229</v>
      </c>
      <c r="E23" s="27">
        <f>C23</f>
        <v>71987441.790000007</v>
      </c>
      <c r="G23" s="27">
        <f>SALARIES!J277</f>
        <v>75195699.884115234</v>
      </c>
      <c r="H23" s="361">
        <f>+G23/$G$35</f>
        <v>0.23194770269532972</v>
      </c>
    </row>
    <row r="24" spans="1:8">
      <c r="A24" t="s">
        <v>1014</v>
      </c>
      <c r="C24" s="27">
        <v>6530442.4199999999</v>
      </c>
      <c r="D24" s="27">
        <v>6662935.4199999999</v>
      </c>
      <c r="E24" s="27">
        <f t="shared" ref="E24:E33" si="1">C24</f>
        <v>6530442.4199999999</v>
      </c>
      <c r="G24" s="27">
        <f>SALARIES!J280</f>
        <v>7062711.545859864</v>
      </c>
      <c r="H24" s="361">
        <f t="shared" ref="H24:H35" si="2">+G24/$G$35</f>
        <v>2.1785550508693845E-2</v>
      </c>
    </row>
    <row r="25" spans="1:8">
      <c r="A25" t="s">
        <v>1015</v>
      </c>
      <c r="C25" s="27">
        <f>'BULK PURCHASES'!F4</f>
        <v>7300000</v>
      </c>
      <c r="D25" s="27">
        <f>'BULK PURCHASES'!H4</f>
        <v>850000</v>
      </c>
      <c r="E25" s="27">
        <f t="shared" si="1"/>
        <v>7300000</v>
      </c>
      <c r="G25" s="27">
        <f>'BULK PURCHASES'!J4</f>
        <v>971400.94285714289</v>
      </c>
      <c r="H25" s="361">
        <f t="shared" si="2"/>
        <v>2.9963710350329248E-3</v>
      </c>
    </row>
    <row r="26" spans="1:8">
      <c r="A26" t="s">
        <v>1016</v>
      </c>
      <c r="C26" s="27">
        <f>'BULK PURCHASES'!F3</f>
        <v>43134189.25</v>
      </c>
      <c r="D26" s="27">
        <f>'BULK PURCHASES'!H3</f>
        <v>38183983</v>
      </c>
      <c r="E26" s="27">
        <f t="shared" si="1"/>
        <v>43134189.25</v>
      </c>
      <c r="G26" s="27">
        <f>'BULK PURCHASES'!J3</f>
        <v>45000000</v>
      </c>
      <c r="H26" s="361">
        <f t="shared" si="2"/>
        <v>0.13880642958806672</v>
      </c>
    </row>
    <row r="27" spans="1:8">
      <c r="A27" t="s">
        <v>44</v>
      </c>
      <c r="C27" s="27">
        <f>'NON CASH'!G19</f>
        <v>64000000.0022</v>
      </c>
      <c r="D27" s="27">
        <f>'NON CASH'!H19</f>
        <v>67200000.002309993</v>
      </c>
      <c r="E27" s="27">
        <f t="shared" si="1"/>
        <v>64000000.0022</v>
      </c>
      <c r="F27" s="67"/>
      <c r="G27" s="27">
        <f>'NON CASH'!I19</f>
        <v>68544000.002356201</v>
      </c>
      <c r="H27" s="361">
        <f t="shared" si="2"/>
        <v>0.21142995355581112</v>
      </c>
    </row>
    <row r="28" spans="1:8">
      <c r="A28" t="s">
        <v>1017</v>
      </c>
      <c r="C28" s="27">
        <f>'NON CASH'!G30</f>
        <v>40316100</v>
      </c>
      <c r="D28" s="27">
        <f>'NON CASH'!H30</f>
        <v>40316100</v>
      </c>
      <c r="E28" s="27">
        <f t="shared" si="1"/>
        <v>40316100</v>
      </c>
      <c r="F28" s="67"/>
      <c r="G28" s="27">
        <f>'NON CASH'!I30</f>
        <v>41806091.440000005</v>
      </c>
      <c r="H28" s="361">
        <f t="shared" si="2"/>
        <v>0.1289545397293031</v>
      </c>
    </row>
    <row r="29" spans="1:8">
      <c r="A29" t="s">
        <v>1018</v>
      </c>
      <c r="C29" s="27">
        <f>FINANCE!F33</f>
        <v>1200000</v>
      </c>
      <c r="D29" s="27">
        <f>FINANCE!H34</f>
        <v>1200000</v>
      </c>
      <c r="E29" s="27">
        <f t="shared" si="1"/>
        <v>1200000</v>
      </c>
      <c r="F29" s="67"/>
      <c r="G29" s="27">
        <f>FINANCE!J33</f>
        <v>1200000</v>
      </c>
      <c r="H29" s="361">
        <f t="shared" si="2"/>
        <v>3.7015047890151124E-3</v>
      </c>
    </row>
    <row r="30" spans="1:8">
      <c r="A30" t="s">
        <v>927</v>
      </c>
      <c r="C30" s="27">
        <f>RME!F44</f>
        <v>10897913.225</v>
      </c>
      <c r="D30" s="27">
        <f>RME!H44</f>
        <v>11157913.225</v>
      </c>
      <c r="E30" s="27">
        <f t="shared" si="1"/>
        <v>10897913.225</v>
      </c>
      <c r="F30" s="67"/>
      <c r="G30" s="27">
        <f>RME!J44</f>
        <v>11212536.571428571</v>
      </c>
      <c r="H30" s="361">
        <f t="shared" si="2"/>
        <v>3.4586048180124951E-2</v>
      </c>
    </row>
    <row r="31" spans="1:8" ht="409.6">
      <c r="A31" t="s">
        <v>1034</v>
      </c>
      <c r="C31" s="27">
        <v>6930000</v>
      </c>
      <c r="D31" s="27">
        <f>'CONTRACTED SERVICES'!H13</f>
        <v>7892608.7400000002</v>
      </c>
      <c r="E31" s="27">
        <f t="shared" si="1"/>
        <v>6930000</v>
      </c>
      <c r="F31" s="67"/>
      <c r="G31" s="27">
        <f>'CONTRACTED SERVICES'!I13</f>
        <v>8965486.7085714284</v>
      </c>
      <c r="H31" s="361">
        <f t="shared" si="2"/>
        <v>2.7654826656357066E-2</v>
      </c>
    </row>
    <row r="32" spans="1:8" ht="409.6">
      <c r="A32" t="s">
        <v>1035</v>
      </c>
      <c r="C32" s="27">
        <f>'FREE BASIC CHARGE'!F9</f>
        <v>22499011</v>
      </c>
      <c r="D32" s="27">
        <f>'FREE BASIC CHARGE'!H9</f>
        <v>17327741</v>
      </c>
      <c r="E32" s="27">
        <f t="shared" si="1"/>
        <v>22499011</v>
      </c>
      <c r="F32" s="67"/>
      <c r="G32" s="27">
        <f>'FREE BASIC CHARGE'!J9</f>
        <v>16767297.120000001</v>
      </c>
      <c r="H32" s="361">
        <f t="shared" si="2"/>
        <v>5.1720192157099422E-2</v>
      </c>
    </row>
    <row r="33" spans="1:9" ht="409.6">
      <c r="A33" t="s">
        <v>1019</v>
      </c>
      <c r="C33" s="38">
        <f>'GENERAL EXPENDITURE'!F200</f>
        <v>38977576.217100002</v>
      </c>
      <c r="D33" s="38">
        <f>'GENERAL EXPENDITURE'!H200</f>
        <v>43784246</v>
      </c>
      <c r="E33" s="27">
        <f t="shared" si="1"/>
        <v>38977576.217100002</v>
      </c>
      <c r="F33" s="40">
        <f>'SUMMARY- PER DEPT'!B40</f>
        <v>304385165.90956998</v>
      </c>
      <c r="G33" s="27">
        <f>'GENERAL EXPENDITURE'!J200</f>
        <v>47467251.115714282</v>
      </c>
      <c r="H33" s="361">
        <f t="shared" si="2"/>
        <v>0.14641688110516612</v>
      </c>
    </row>
    <row r="34" spans="1:9" ht="409.6">
      <c r="F34" s="40">
        <v>287513772.93000001</v>
      </c>
      <c r="H34" s="361">
        <f t="shared" si="2"/>
        <v>0</v>
      </c>
    </row>
    <row r="35" spans="1:9" ht="15.75" thickBot="1">
      <c r="A35" s="65" t="s">
        <v>1020</v>
      </c>
      <c r="B35" s="57"/>
      <c r="C35" s="62">
        <f>SUM(C23:C34)</f>
        <v>313772673.90430003</v>
      </c>
      <c r="D35" s="62">
        <f>SUM(D23:D34)</f>
        <v>305454866.90062618</v>
      </c>
      <c r="E35" s="62">
        <f>SUM(E23:E34)</f>
        <v>313772673.90430003</v>
      </c>
      <c r="F35" s="62">
        <f>SUM(F23:F34)</f>
        <v>591898938.83957005</v>
      </c>
      <c r="G35" s="62">
        <f>SUM(G23:G34)</f>
        <v>324192475.3309027</v>
      </c>
      <c r="H35" s="361">
        <f t="shared" si="2"/>
        <v>1</v>
      </c>
    </row>
    <row r="36" spans="1:9" ht="15.75" thickTop="1"/>
    <row r="37" spans="1:9" hidden="1"/>
    <row r="38" spans="1:9" s="1" customFormat="1" ht="15.75" hidden="1" thickBot="1">
      <c r="A38" s="60" t="s">
        <v>853</v>
      </c>
      <c r="C38" s="44"/>
      <c r="D38" s="44"/>
      <c r="G38" s="44"/>
    </row>
    <row r="39" spans="1:9" hidden="1">
      <c r="A39" t="s">
        <v>147</v>
      </c>
      <c r="C39" s="27">
        <v>24633000</v>
      </c>
    </row>
    <row r="40" spans="1:9" hidden="1">
      <c r="A40" t="s">
        <v>300</v>
      </c>
      <c r="C40" s="27">
        <f>GRANTS!G58</f>
        <v>0</v>
      </c>
    </row>
    <row r="41" spans="1:9" hidden="1">
      <c r="A41" t="s">
        <v>569</v>
      </c>
      <c r="C41" s="27">
        <v>3240000</v>
      </c>
    </row>
    <row r="42" spans="1:9" hidden="1">
      <c r="A42" t="s">
        <v>608</v>
      </c>
      <c r="C42" s="27">
        <v>30000000</v>
      </c>
    </row>
    <row r="43" spans="1:9" hidden="1">
      <c r="A43" t="s">
        <v>1021</v>
      </c>
      <c r="C43" s="27">
        <v>4824000</v>
      </c>
    </row>
    <row r="44" spans="1:9" hidden="1">
      <c r="A44" t="s">
        <v>1027</v>
      </c>
      <c r="C44" s="27">
        <v>4900000</v>
      </c>
      <c r="H44" s="40"/>
      <c r="I44" s="43"/>
    </row>
    <row r="45" spans="1:9" ht="15.75" hidden="1" thickBot="1">
      <c r="C45" s="62">
        <f>SUM(C39:C44)</f>
        <v>67597000</v>
      </c>
      <c r="D45" s="55"/>
    </row>
    <row r="46" spans="1:9" ht="15.75" hidden="1" thickTop="1"/>
    <row r="48" spans="1:9" s="1" customFormat="1" ht="15.75" thickBot="1">
      <c r="A48" s="1" t="s">
        <v>1022</v>
      </c>
      <c r="C48" s="62">
        <f>C18+C35</f>
        <v>2844460.1693000197</v>
      </c>
      <c r="D48" s="62">
        <f>D18+D35</f>
        <v>3674153.4006261826</v>
      </c>
      <c r="E48" s="62">
        <f>E18+E35</f>
        <v>-22870108.435699999</v>
      </c>
      <c r="F48" s="62">
        <f>F18+F35</f>
        <v>240795576.65317005</v>
      </c>
      <c r="G48" s="62">
        <f>G18+G35</f>
        <v>-380089.11113613844</v>
      </c>
    </row>
    <row r="49" spans="6:9" customFormat="1" ht="15.75" thickTop="1">
      <c r="G49" s="27"/>
    </row>
    <row r="51" spans="6:9" customFormat="1" ht="409.6">
      <c r="F51" s="42"/>
      <c r="G51" s="40"/>
      <c r="H51" s="40"/>
      <c r="I51" s="40"/>
    </row>
    <row r="52" spans="6:9" customFormat="1" ht="409.6">
      <c r="F52" s="42"/>
      <c r="G52" s="40"/>
      <c r="H52" s="40"/>
      <c r="I52" s="40"/>
    </row>
    <row r="53" spans="6:9" customFormat="1" ht="409.6">
      <c r="F53" s="39"/>
      <c r="G53" s="55"/>
      <c r="H53" s="40"/>
      <c r="I53" s="55"/>
    </row>
  </sheetData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opLeftCell="A22" zoomScaleNormal="100" workbookViewId="0">
      <pane xSplit="1" topLeftCell="D1" activePane="topRight" state="frozen"/>
      <selection pane="topRight" activeCell="J40" sqref="J40"/>
    </sheetView>
  </sheetViews>
  <sheetFormatPr defaultRowHeight="15"/>
  <cols>
    <col min="1" max="1" width="32.5703125" bestFit="1" customWidth="1"/>
    <col min="2" max="2" width="16.140625" style="27" customWidth="1"/>
    <col min="3" max="3" width="18.42578125" style="27" customWidth="1"/>
    <col min="4" max="4" width="17.5703125" style="27" customWidth="1"/>
    <col min="5" max="5" width="5.7109375" customWidth="1"/>
    <col min="6" max="6" width="16.85546875" customWidth="1"/>
    <col min="7" max="7" width="17" customWidth="1"/>
    <col min="8" max="8" width="18.28515625" customWidth="1"/>
    <col min="10" max="10" width="20" customWidth="1"/>
    <col min="11" max="11" width="15.85546875" bestFit="1" customWidth="1"/>
    <col min="12" max="12" width="16.5703125" bestFit="1" customWidth="1"/>
  </cols>
  <sheetData>
    <row r="2" spans="1:12" ht="15.75" thickBot="1">
      <c r="A2" s="1"/>
      <c r="B2" s="44"/>
      <c r="C2" s="44"/>
      <c r="D2" s="44"/>
    </row>
    <row r="3" spans="1:12" ht="15.75" thickBot="1">
      <c r="A3" s="1"/>
      <c r="B3" s="377" t="s">
        <v>1120</v>
      </c>
      <c r="C3" s="378"/>
      <c r="D3" s="379"/>
      <c r="E3" s="90"/>
      <c r="F3" s="377" t="s">
        <v>1106</v>
      </c>
      <c r="G3" s="378"/>
      <c r="H3" s="379"/>
      <c r="J3" s="377" t="s">
        <v>1125</v>
      </c>
      <c r="K3" s="378"/>
      <c r="L3" s="379"/>
    </row>
    <row r="4" spans="1:12" ht="15.75" thickBot="1">
      <c r="F4" s="1"/>
      <c r="J4" s="1"/>
    </row>
    <row r="5" spans="1:12" ht="15.75" thickBot="1">
      <c r="B5" s="61" t="s">
        <v>990</v>
      </c>
      <c r="C5" s="45" t="s">
        <v>991</v>
      </c>
      <c r="D5" s="46" t="s">
        <v>992</v>
      </c>
      <c r="F5" s="61" t="s">
        <v>990</v>
      </c>
      <c r="G5" s="45" t="s">
        <v>991</v>
      </c>
      <c r="H5" s="46" t="s">
        <v>992</v>
      </c>
      <c r="J5" s="61" t="s">
        <v>990</v>
      </c>
      <c r="K5" s="45" t="s">
        <v>991</v>
      </c>
      <c r="L5" s="46" t="s">
        <v>992</v>
      </c>
    </row>
    <row r="6" spans="1:12" ht="15.75" thickBot="1">
      <c r="A6" s="60" t="s">
        <v>987</v>
      </c>
      <c r="B6" s="187"/>
      <c r="C6" s="40"/>
      <c r="D6" s="188"/>
      <c r="F6" s="187"/>
      <c r="G6" s="40"/>
      <c r="H6" s="188"/>
      <c r="J6" s="187"/>
      <c r="K6" s="40"/>
      <c r="L6" s="188"/>
    </row>
    <row r="7" spans="1:12">
      <c r="A7" t="s">
        <v>988</v>
      </c>
      <c r="B7" s="187">
        <f>MAYOR!O33</f>
        <v>2152196.2864800002</v>
      </c>
      <c r="C7" s="40">
        <f>MAYOR!O34</f>
        <v>-2217237.29</v>
      </c>
      <c r="D7" s="188">
        <f>B7+C7</f>
        <v>-65041.003519999795</v>
      </c>
      <c r="F7" s="187">
        <f>MAYOR!P33</f>
        <v>2927954.3557865601</v>
      </c>
      <c r="G7" s="40">
        <f>MAYOR!P34</f>
        <v>-2217237.29</v>
      </c>
      <c r="H7" s="188">
        <f>F7+G7</f>
        <v>710717.06578656007</v>
      </c>
      <c r="J7" s="346">
        <f>MAYOR!Q33</f>
        <v>3311830.049617297</v>
      </c>
      <c r="K7" s="91">
        <f>MAYOR!Q34</f>
        <v>-2217237.29</v>
      </c>
      <c r="L7" s="188">
        <f>J7+K7</f>
        <v>1094592.759617297</v>
      </c>
    </row>
    <row r="8" spans="1:12">
      <c r="A8" t="s">
        <v>989</v>
      </c>
      <c r="B8" s="187">
        <f>SPEAKER!N31</f>
        <v>7038598.4151300015</v>
      </c>
      <c r="C8" s="40">
        <f>SPEAKER!N32</f>
        <v>-8747129.0700000003</v>
      </c>
      <c r="D8" s="188">
        <f>B8+C8</f>
        <v>-1708530.6548699988</v>
      </c>
      <c r="F8" s="187">
        <f>SPEAKER!O31</f>
        <v>7449215.5050859498</v>
      </c>
      <c r="G8" s="40">
        <f>SPEAKER!O32</f>
        <v>-8747129.0700000003</v>
      </c>
      <c r="H8" s="188">
        <f>F8+G8</f>
        <v>-1297913.5649140505</v>
      </c>
      <c r="J8" s="346">
        <f>SPEAKER!P31</f>
        <v>8093627.20815471</v>
      </c>
      <c r="K8" s="91">
        <f>SPEAKER!P32</f>
        <v>-8947129.0700000003</v>
      </c>
      <c r="L8" s="188">
        <f>J8+K8</f>
        <v>-853501.86184529029</v>
      </c>
    </row>
    <row r="9" spans="1:12">
      <c r="A9" t="s">
        <v>87</v>
      </c>
      <c r="B9" s="187">
        <f>MM!N38</f>
        <v>11315519.498269999</v>
      </c>
      <c r="C9" s="40">
        <f>MM!N39</f>
        <v>-9063976.2799999975</v>
      </c>
      <c r="D9" s="188">
        <f>B9+C9</f>
        <v>2251543.2182700019</v>
      </c>
      <c r="F9" s="187">
        <f>MM!O38</f>
        <v>14811245.09704325</v>
      </c>
      <c r="G9" s="40">
        <f>MM!O39</f>
        <v>-9063976.2799999975</v>
      </c>
      <c r="H9" s="188">
        <f>F9+G9</f>
        <v>5747268.8170432523</v>
      </c>
      <c r="J9" s="346">
        <f>MM!P38</f>
        <v>14211738.858548585</v>
      </c>
      <c r="K9" s="91">
        <f>MM!P39</f>
        <v>-9088976.2799999975</v>
      </c>
      <c r="L9" s="188">
        <f>J9+K9</f>
        <v>5122762.5785485879</v>
      </c>
    </row>
    <row r="10" spans="1:12" ht="15.75" thickBot="1">
      <c r="B10" s="189">
        <f>SUM(B7:B9)</f>
        <v>20506314.199880004</v>
      </c>
      <c r="C10" s="62">
        <f>SUM(C7:C9)</f>
        <v>-20028342.639999997</v>
      </c>
      <c r="D10" s="190">
        <f>SUM(D7:D9)</f>
        <v>477971.55988000333</v>
      </c>
      <c r="F10" s="189">
        <f>SUM(F7:F9)</f>
        <v>25188414.957915761</v>
      </c>
      <c r="G10" s="62">
        <f>SUM(G7:G9)</f>
        <v>-20028342.639999997</v>
      </c>
      <c r="H10" s="190">
        <f>SUM(H7:H9)</f>
        <v>5160072.3179157618</v>
      </c>
      <c r="J10" s="347">
        <f>SUM(J7:J9)</f>
        <v>25617196.116320591</v>
      </c>
      <c r="K10" s="62">
        <f>SUM(K7:K9)</f>
        <v>-20253342.639999997</v>
      </c>
      <c r="L10" s="190">
        <f>SUM(L7:L9)</f>
        <v>5363853.4763205945</v>
      </c>
    </row>
    <row r="11" spans="1:12" ht="15.75" thickTop="1">
      <c r="B11" s="187"/>
      <c r="C11" s="40"/>
      <c r="D11" s="188"/>
      <c r="F11" s="187"/>
      <c r="G11" s="40"/>
      <c r="H11" s="188"/>
      <c r="J11" s="346"/>
      <c r="K11" s="40"/>
      <c r="L11" s="188"/>
    </row>
    <row r="12" spans="1:12" ht="15.75" thickBot="1">
      <c r="A12" s="60" t="s">
        <v>855</v>
      </c>
      <c r="B12" s="187"/>
      <c r="C12" s="40"/>
      <c r="D12" s="188"/>
      <c r="F12" s="187"/>
      <c r="G12" s="40"/>
      <c r="H12" s="188"/>
      <c r="J12" s="346"/>
      <c r="K12" s="40"/>
      <c r="L12" s="188"/>
    </row>
    <row r="13" spans="1:12">
      <c r="A13" t="s">
        <v>993</v>
      </c>
      <c r="B13" s="187">
        <f>CORPORATE!N71</f>
        <v>19870228.167080004</v>
      </c>
      <c r="C13" s="40">
        <f>CORPORATE!N72</f>
        <v>-577910.39</v>
      </c>
      <c r="D13" s="188">
        <f>B13+C13</f>
        <v>19292317.777080003</v>
      </c>
      <c r="F13" s="187">
        <f>CORPORATE!O71</f>
        <v>17694227.473363247</v>
      </c>
      <c r="G13" s="40">
        <f>CORPORATE!O72</f>
        <v>-444400</v>
      </c>
      <c r="H13" s="188">
        <f>F13+G13</f>
        <v>17249827.473363247</v>
      </c>
      <c r="J13" s="346">
        <f>CORPORATE!P71</f>
        <v>20068587.729805037</v>
      </c>
      <c r="K13" s="91">
        <f>CORPORATE!P72</f>
        <v>-312935.20142857113</v>
      </c>
      <c r="L13" s="188">
        <f>J13+K13</f>
        <v>19755652.528376468</v>
      </c>
    </row>
    <row r="14" spans="1:12">
      <c r="A14" t="s">
        <v>994</v>
      </c>
      <c r="B14" s="187">
        <f>FINANCE!O79</f>
        <v>14283143.25226</v>
      </c>
      <c r="C14" s="40">
        <f>FINANCE!O80</f>
        <v>-83546927.605000004</v>
      </c>
      <c r="D14" s="188">
        <f>B14+C14</f>
        <v>-69263784.352740005</v>
      </c>
      <c r="F14" s="187">
        <f>FINANCE!P79</f>
        <v>15180587.701064419</v>
      </c>
      <c r="G14" s="40">
        <f>FINANCE!P80</f>
        <v>-74246873.605000004</v>
      </c>
      <c r="H14" s="188">
        <f>F14+G14</f>
        <v>-59066285.903935581</v>
      </c>
      <c r="J14" s="346">
        <f>FINANCE!Q79</f>
        <v>25521951.633091487</v>
      </c>
      <c r="K14" s="91">
        <f>FINANCE!Q80</f>
        <v>-73609784.135600001</v>
      </c>
      <c r="L14" s="188">
        <f>J14+K14</f>
        <v>-48087832.502508514</v>
      </c>
    </row>
    <row r="15" spans="1:12" ht="15.75" thickBot="1">
      <c r="B15" s="189">
        <f>SUM(B13:B14)</f>
        <v>34153371.41934</v>
      </c>
      <c r="C15" s="62">
        <f>SUM(C13:C14)</f>
        <v>-84124837.995000005</v>
      </c>
      <c r="D15" s="190">
        <f>SUM(D13:D14)</f>
        <v>-49971466.575660005</v>
      </c>
      <c r="F15" s="189">
        <f>SUM(F13:F14)</f>
        <v>32874815.174427666</v>
      </c>
      <c r="G15" s="62">
        <f>SUM(G13:G14)</f>
        <v>-74691273.605000004</v>
      </c>
      <c r="H15" s="190">
        <f>SUM(H13:H14)</f>
        <v>-41816458.430572331</v>
      </c>
      <c r="J15" s="347">
        <f>SUM(J13:J14)</f>
        <v>45590539.362896524</v>
      </c>
      <c r="K15" s="62">
        <f>SUM(K13:K14)</f>
        <v>-73922719.337028578</v>
      </c>
      <c r="L15" s="190">
        <f>SUM(L13:L14)</f>
        <v>-28332179.974132046</v>
      </c>
    </row>
    <row r="16" spans="1:12" ht="15.75" thickTop="1">
      <c r="B16" s="187"/>
      <c r="C16" s="40"/>
      <c r="D16" s="188"/>
      <c r="F16" s="187"/>
      <c r="G16" s="40"/>
      <c r="H16" s="188"/>
      <c r="J16" s="187"/>
      <c r="K16" s="40"/>
      <c r="L16" s="188"/>
    </row>
    <row r="17" spans="1:12" ht="15.75" thickBot="1">
      <c r="A17" s="60" t="s">
        <v>995</v>
      </c>
      <c r="B17" s="187"/>
      <c r="C17" s="40"/>
      <c r="D17" s="188"/>
      <c r="F17" s="187"/>
      <c r="G17" s="40"/>
      <c r="H17" s="188"/>
      <c r="J17" s="187"/>
      <c r="K17" s="40"/>
      <c r="L17" s="188"/>
    </row>
    <row r="18" spans="1:12">
      <c r="A18" t="s">
        <v>996</v>
      </c>
      <c r="B18" s="187">
        <f>'COMMUNITY SERVICES'!N172</f>
        <v>4486631.4553900007</v>
      </c>
      <c r="C18" s="40">
        <f>'COMMUNITY SERVICES'!N173</f>
        <v>-5896155.2599999998</v>
      </c>
      <c r="D18" s="188">
        <f>B18+C18</f>
        <v>-1409523.8046099991</v>
      </c>
      <c r="F18" s="187">
        <f>'COMMUNITY SERVICES'!O172</f>
        <v>2579032.1377288331</v>
      </c>
      <c r="G18" s="40">
        <f>'COMMUNITY SERVICES'!O173</f>
        <v>-5881155.2599999998</v>
      </c>
      <c r="H18" s="188">
        <f>F18+G18</f>
        <v>-3302123.1222711666</v>
      </c>
      <c r="J18" s="346">
        <f>'COMMUNITY SERVICES'!P172</f>
        <v>3531845.1346421633</v>
      </c>
      <c r="K18" s="91">
        <f>'COMMUNITY SERVICES'!P173</f>
        <v>-5876320.962857143</v>
      </c>
      <c r="L18" s="188">
        <f>J18+K18</f>
        <v>-2344475.8282149797</v>
      </c>
    </row>
    <row r="19" spans="1:12">
      <c r="A19" t="s">
        <v>997</v>
      </c>
      <c r="B19" s="187">
        <f>'COMMUNITY SERVICES'!N27</f>
        <v>2058353.9478600004</v>
      </c>
      <c r="C19" s="40">
        <f>'COMMUNITY SERVICES'!N28</f>
        <v>-3870644.1800000006</v>
      </c>
      <c r="D19" s="188">
        <f t="shared" ref="D19:D25" si="0">B19+C19</f>
        <v>-1812290.2321400002</v>
      </c>
      <c r="F19" s="187">
        <f>'COMMUNITY SERVICES'!O27</f>
        <v>2140996.6242962349</v>
      </c>
      <c r="G19" s="40">
        <f>'COMMUNITY SERVICES'!O28</f>
        <v>-3870644.1800000006</v>
      </c>
      <c r="H19" s="188">
        <f t="shared" ref="H19:H25" si="1">F19+G19</f>
        <v>-1729647.5557037657</v>
      </c>
      <c r="J19" s="348">
        <f>'COMMUNITY SERVICES'!P27</f>
        <v>1555013.8217540092</v>
      </c>
      <c r="K19" s="91">
        <f>'COMMUNITY SERVICES'!P28</f>
        <v>-3872358.4657142865</v>
      </c>
      <c r="L19" s="188">
        <f t="shared" ref="L19:L25" si="2">J19+K19</f>
        <v>-2317344.6439602775</v>
      </c>
    </row>
    <row r="20" spans="1:12">
      <c r="A20" t="s">
        <v>369</v>
      </c>
      <c r="B20" s="187">
        <f>'COMMUNITY SERVICES'!N287</f>
        <v>26178307.895180002</v>
      </c>
      <c r="C20" s="178">
        <f>'COMMUNITY SERVICES'!N288</f>
        <v>-33769946.215000004</v>
      </c>
      <c r="D20" s="188">
        <f t="shared" si="0"/>
        <v>-7591638.3198200017</v>
      </c>
      <c r="F20" s="187">
        <f>'COMMUNITY SERVICES'!O287</f>
        <v>21880961.031132068</v>
      </c>
      <c r="G20" s="178">
        <f>'COMMUNITY SERVICES'!O288</f>
        <v>-33769946.215000004</v>
      </c>
      <c r="H20" s="188">
        <f t="shared" si="1"/>
        <v>-11888985.183867935</v>
      </c>
      <c r="J20" s="346">
        <f>'COMMUNITY SERVICES'!P287</f>
        <v>22327013.082181253</v>
      </c>
      <c r="K20" s="91">
        <f>'COMMUNITY SERVICES'!P288</f>
        <v>-33738271.238571391</v>
      </c>
      <c r="L20" s="188">
        <f t="shared" si="2"/>
        <v>-11411258.156390138</v>
      </c>
    </row>
    <row r="21" spans="1:12">
      <c r="A21" t="s">
        <v>998</v>
      </c>
      <c r="B21" s="187">
        <f>'COMMUNITY SERVICES'!N228</f>
        <v>8201687.3508600006</v>
      </c>
      <c r="C21" s="40">
        <f>'COMMUNITY SERVICES'!N229</f>
        <v>-9954120.5199999977</v>
      </c>
      <c r="D21" s="188">
        <f t="shared" si="0"/>
        <v>-1752433.1691399971</v>
      </c>
      <c r="F21" s="187">
        <f>'COMMUNITY SERVICES'!O228</f>
        <v>8639644.4268281814</v>
      </c>
      <c r="G21" s="40">
        <f>'COMMUNITY SERVICES'!O229</f>
        <v>-9985320.5199999977</v>
      </c>
      <c r="H21" s="188">
        <f t="shared" si="1"/>
        <v>-1345676.0931718163</v>
      </c>
      <c r="J21" s="346">
        <f>'COMMUNITY SERVICES'!P228</f>
        <v>9118387.3131766729</v>
      </c>
      <c r="K21" s="91">
        <f>'COMMUNITY SERVICES'!P229</f>
        <v>-9501120.5700000003</v>
      </c>
      <c r="L21" s="188">
        <f t="shared" si="2"/>
        <v>-382733.25682332739</v>
      </c>
    </row>
    <row r="22" spans="1:12">
      <c r="A22" t="s">
        <v>999</v>
      </c>
      <c r="B22" s="187">
        <f>'COMMUNITY SERVICES'!N134</f>
        <v>377573.66655999998</v>
      </c>
      <c r="C22" s="178">
        <f>'COMMUNITY SERVICES'!N135</f>
        <v>-4358237.28</v>
      </c>
      <c r="D22" s="188">
        <f t="shared" si="0"/>
        <v>-3980663.6134400005</v>
      </c>
      <c r="F22" s="187">
        <f>'COMMUNITY SERVICES'!O134</f>
        <v>503988.41690725193</v>
      </c>
      <c r="G22" s="178">
        <f>'COMMUNITY SERVICES'!O135</f>
        <v>-4358237.28</v>
      </c>
      <c r="H22" s="188">
        <f t="shared" si="1"/>
        <v>-3854248.8630927484</v>
      </c>
      <c r="J22" s="346">
        <f>'COMMUNITY SERVICES'!P134</f>
        <v>465862.38352168712</v>
      </c>
      <c r="K22" s="91">
        <f>'COMMUNITY SERVICES'!P135</f>
        <v>-4358237.28</v>
      </c>
      <c r="L22" s="188">
        <f>J22+K22</f>
        <v>-3892374.896478313</v>
      </c>
    </row>
    <row r="23" spans="1:12" s="349" customFormat="1">
      <c r="A23" s="349" t="s">
        <v>1000</v>
      </c>
      <c r="B23" s="350">
        <f>'COMMUNITY SERVICES'!N323</f>
        <v>7015575.7772200024</v>
      </c>
      <c r="C23" s="351">
        <f>'COMMUNITY SERVICES'!N324</f>
        <v>-180000</v>
      </c>
      <c r="D23" s="352">
        <f t="shared" si="0"/>
        <v>6835575.7772200024</v>
      </c>
      <c r="F23" s="350">
        <f>'COMMUNITY SERVICES'!O323</f>
        <v>7365900.8464754205</v>
      </c>
      <c r="G23" s="351">
        <f>'COMMUNITY SERVICES'!O324</f>
        <v>-180000</v>
      </c>
      <c r="H23" s="352">
        <f t="shared" si="1"/>
        <v>7185900.8464754205</v>
      </c>
      <c r="J23" s="354">
        <f>'COMMUNITY SERVICES'!P323</f>
        <v>7488247.0707979463</v>
      </c>
      <c r="K23" s="353">
        <f>'COMMUNITY SERVICES'!P324</f>
        <v>-200000</v>
      </c>
      <c r="L23" s="352">
        <f t="shared" si="2"/>
        <v>7288247.0707979463</v>
      </c>
    </row>
    <row r="24" spans="1:12">
      <c r="A24" t="s">
        <v>135</v>
      </c>
      <c r="B24" s="187">
        <f>'COMMUNITY SERVICES'!N97</f>
        <v>1460584.9641100001</v>
      </c>
      <c r="C24" s="40">
        <f>'COMMUNITY SERVICES'!N98</f>
        <v>-2758237.2800000003</v>
      </c>
      <c r="D24" s="188">
        <f t="shared" si="0"/>
        <v>-1297652.3158900002</v>
      </c>
      <c r="F24" s="187">
        <f>'COMMUNITY SERVICES'!O97</f>
        <v>1464557.3219795274</v>
      </c>
      <c r="G24" s="40">
        <f>'COMMUNITY SERVICES'!O98</f>
        <v>-2758237.2800000003</v>
      </c>
      <c r="H24" s="188">
        <f t="shared" si="1"/>
        <v>-1293679.9580204729</v>
      </c>
      <c r="J24" s="346">
        <f>'COMMUNITY SERVICES'!P97</f>
        <v>1695176.149891099</v>
      </c>
      <c r="K24" s="91">
        <f>'COMMUNITY SERVICES'!P98</f>
        <v>-2758237.2800000003</v>
      </c>
      <c r="L24" s="188">
        <f t="shared" si="2"/>
        <v>-1063061.1301089013</v>
      </c>
    </row>
    <row r="25" spans="1:12">
      <c r="A25" t="s">
        <v>123</v>
      </c>
      <c r="B25" s="187">
        <f>'COMMUNITY SERVICES'!N68</f>
        <v>834226.03440000012</v>
      </c>
      <c r="C25" s="178">
        <f>'COMMUNITY SERVICES'!N69</f>
        <v>-1701922.2800000003</v>
      </c>
      <c r="D25" s="188">
        <f t="shared" si="0"/>
        <v>-867696.24560000014</v>
      </c>
      <c r="F25" s="187">
        <f>'COMMUNITY SERVICES'!O68</f>
        <v>869704.08011804998</v>
      </c>
      <c r="G25" s="178">
        <f>'COMMUNITY SERVICES'!O69</f>
        <v>-1701922.2800000003</v>
      </c>
      <c r="H25" s="188">
        <f t="shared" si="1"/>
        <v>-832218.19988195028</v>
      </c>
      <c r="J25" s="346">
        <f>'COMMUNITY SERVICES'!P68</f>
        <v>750986.32492513291</v>
      </c>
      <c r="K25" s="91">
        <f>'COMMUNITY SERVICES'!P69</f>
        <v>-1701922.2800000003</v>
      </c>
      <c r="L25" s="188">
        <f t="shared" si="2"/>
        <v>-950935.95507486735</v>
      </c>
    </row>
    <row r="26" spans="1:12" ht="15.75" thickBot="1">
      <c r="B26" s="189">
        <f>SUM(B18:B25)</f>
        <v>50612941.091580011</v>
      </c>
      <c r="C26" s="62">
        <f>SUM(C18:C25)</f>
        <v>-62489263.015000001</v>
      </c>
      <c r="D26" s="190">
        <f>SUM(D18:D25)</f>
        <v>-11876321.923419993</v>
      </c>
      <c r="F26" s="189">
        <f>SUM(F18:F25)</f>
        <v>45444784.885465577</v>
      </c>
      <c r="G26" s="62">
        <f>SUM(G18:G25)</f>
        <v>-62505463.015000001</v>
      </c>
      <c r="H26" s="190">
        <f>SUM(H18:H25)</f>
        <v>-17060678.129534435</v>
      </c>
      <c r="J26" s="189">
        <f>SUM(J18:J25)</f>
        <v>46932531.280889958</v>
      </c>
      <c r="K26" s="62">
        <f>SUM(K18:K25)</f>
        <v>-62006468.077142827</v>
      </c>
      <c r="L26" s="190">
        <f>SUM(L18:L25)</f>
        <v>-15073936.796252856</v>
      </c>
    </row>
    <row r="27" spans="1:12" ht="15.75" thickTop="1">
      <c r="B27" s="187"/>
      <c r="C27" s="40"/>
      <c r="D27" s="188"/>
      <c r="F27" s="187"/>
      <c r="G27" s="40"/>
      <c r="H27" s="188"/>
      <c r="J27" s="187"/>
      <c r="K27" s="40"/>
      <c r="L27" s="188"/>
    </row>
    <row r="28" spans="1:12" ht="15.75" thickBot="1">
      <c r="A28" s="60" t="s">
        <v>1001</v>
      </c>
      <c r="B28" s="187"/>
      <c r="C28" s="40"/>
      <c r="D28" s="188"/>
      <c r="F28" s="187"/>
      <c r="G28" s="40"/>
      <c r="H28" s="188"/>
      <c r="J28" s="187"/>
      <c r="K28" s="40"/>
      <c r="L28" s="188"/>
    </row>
    <row r="29" spans="1:12">
      <c r="A29" t="s">
        <v>1002</v>
      </c>
      <c r="B29" s="187">
        <f>TECHNICAL!N57</f>
        <v>49511999.518440001</v>
      </c>
      <c r="C29" s="40">
        <f>TECHNICAL!N58</f>
        <v>-10800989</v>
      </c>
      <c r="D29" s="188">
        <f>B29+C29</f>
        <v>38711010.518440001</v>
      </c>
      <c r="F29" s="187">
        <f>TECHNICAL!O57</f>
        <v>60512122.666964062</v>
      </c>
      <c r="G29" s="40">
        <f>TECHNICAL!O58</f>
        <v>-11906989</v>
      </c>
      <c r="H29" s="188">
        <f>F29+G29</f>
        <v>48605133.666964062</v>
      </c>
      <c r="J29" s="346">
        <f>TECHNICAL!P57</f>
        <v>55116994.843173906</v>
      </c>
      <c r="K29" s="91">
        <f>TECHNICAL!P58</f>
        <v>-10800989</v>
      </c>
      <c r="L29" s="188">
        <f>J29+K29</f>
        <v>44316005.843173906</v>
      </c>
    </row>
    <row r="30" spans="1:12">
      <c r="A30" t="s">
        <v>663</v>
      </c>
      <c r="B30" s="187">
        <f>TECHNICAL!N263</f>
        <v>46680703.309629999</v>
      </c>
      <c r="C30" s="40">
        <f>TECHNICAL!N264</f>
        <v>-50457071.240000002</v>
      </c>
      <c r="D30" s="188">
        <f>B30+C30</f>
        <v>-3776367.930370003</v>
      </c>
      <c r="F30" s="187">
        <f>TECHNICAL!O263</f>
        <v>46723048.021906249</v>
      </c>
      <c r="G30" s="40">
        <f>TECHNICAL!O264</f>
        <v>-50457071.240000002</v>
      </c>
      <c r="H30" s="188">
        <f>F30+G30</f>
        <v>-3734023.2180937529</v>
      </c>
      <c r="J30" s="346">
        <f>TECHNICAL!P263</f>
        <v>48918625.262334973</v>
      </c>
      <c r="K30" s="91">
        <f>TECHNICAL!P264</f>
        <v>-57324948.108571418</v>
      </c>
      <c r="L30" s="188">
        <f>J30+K30</f>
        <v>-8406322.846236445</v>
      </c>
    </row>
    <row r="31" spans="1:12">
      <c r="A31" t="s">
        <v>577</v>
      </c>
      <c r="B31" s="187">
        <f>TECHNICAL!N125</f>
        <v>68167461.024790004</v>
      </c>
      <c r="C31" s="40">
        <f>TECHNICAL!N126</f>
        <v>-49907380.469999999</v>
      </c>
      <c r="D31" s="188">
        <f>B31+C31</f>
        <v>18260080.554790005</v>
      </c>
      <c r="F31" s="187">
        <f>TECHNICAL!O125</f>
        <v>63492575.123902097</v>
      </c>
      <c r="G31" s="40">
        <f>TECHNICAL!O126</f>
        <v>-49064437</v>
      </c>
      <c r="H31" s="188">
        <f>F31+G31</f>
        <v>14428138.123902097</v>
      </c>
      <c r="J31" s="346">
        <f>TECHNICAL!P125</f>
        <v>67068959.737164795</v>
      </c>
      <c r="K31" s="91">
        <f>TECHNICAL!P126</f>
        <v>-67543526.868210301</v>
      </c>
      <c r="L31" s="188">
        <f>J31+K31</f>
        <v>-474567.1310455054</v>
      </c>
    </row>
    <row r="32" spans="1:12">
      <c r="A32" t="s">
        <v>1003</v>
      </c>
      <c r="B32" s="187">
        <f>TECHNICAL!N186</f>
        <v>34752375.345909998</v>
      </c>
      <c r="C32" s="40">
        <f>TECHNICAL!N187</f>
        <v>-33120329.380000003</v>
      </c>
      <c r="D32" s="188">
        <f>B32+C32</f>
        <v>1632045.9659099951</v>
      </c>
      <c r="F32" s="187">
        <f>TECHNICAL!O186</f>
        <v>30954106.070667349</v>
      </c>
      <c r="G32" s="40">
        <f>TECHNICAL!O187</f>
        <v>-33127137</v>
      </c>
      <c r="H32" s="188">
        <f>F32+G32</f>
        <v>-2173030.9293326512</v>
      </c>
      <c r="J32" s="346">
        <f>TECHNICAL!P186</f>
        <v>34947628.728121959</v>
      </c>
      <c r="K32" s="91">
        <f>TECHNICAL!P187</f>
        <v>-32720570.411085714</v>
      </c>
      <c r="L32" s="188">
        <f>J32+K32</f>
        <v>2227058.317036245</v>
      </c>
    </row>
    <row r="33" spans="1:12" ht="15.75" thickBot="1">
      <c r="B33" s="189">
        <f>SUM(B29:B32)</f>
        <v>199112539.19876999</v>
      </c>
      <c r="C33" s="62">
        <f>SUM(C29:C32)</f>
        <v>-144285770.09</v>
      </c>
      <c r="D33" s="190">
        <f>SUM(D29:D32)</f>
        <v>54826769.108769998</v>
      </c>
      <c r="F33" s="189">
        <f>SUM(F29:F32)</f>
        <v>201681851.88343975</v>
      </c>
      <c r="G33" s="62">
        <f>SUM(G29:G32)</f>
        <v>-144555634.24000001</v>
      </c>
      <c r="H33" s="190">
        <f>SUM(H29:H32)</f>
        <v>57126217.643439755</v>
      </c>
      <c r="J33" s="189">
        <f>SUM(J29:J32)</f>
        <v>206052208.57079563</v>
      </c>
      <c r="K33" s="62">
        <f>SUM(K29:K32)</f>
        <v>-168390034.38786745</v>
      </c>
      <c r="L33" s="190">
        <f>SUM(L29:L32)</f>
        <v>37662174.182928205</v>
      </c>
    </row>
    <row r="34" spans="1:12" ht="15.75" thickTop="1">
      <c r="B34" s="187"/>
      <c r="C34" s="40"/>
      <c r="D34" s="188"/>
      <c r="F34" s="187"/>
      <c r="G34" s="40"/>
      <c r="H34" s="188"/>
      <c r="J34" s="187"/>
      <c r="K34" s="40"/>
      <c r="L34" s="188"/>
    </row>
    <row r="35" spans="1:12">
      <c r="B35" s="187"/>
      <c r="C35" s="40"/>
      <c r="D35" s="188"/>
      <c r="F35" s="187"/>
      <c r="G35" s="40"/>
      <c r="H35" s="188"/>
      <c r="J35" s="187"/>
      <c r="K35" s="40"/>
      <c r="L35" s="188"/>
    </row>
    <row r="36" spans="1:12">
      <c r="B36" s="187"/>
      <c r="C36" s="40"/>
      <c r="D36" s="188"/>
      <c r="F36" s="187"/>
      <c r="G36" s="40"/>
      <c r="H36" s="188"/>
      <c r="J36" s="187"/>
      <c r="K36" s="40"/>
      <c r="L36" s="188"/>
    </row>
    <row r="37" spans="1:12">
      <c r="B37" s="187"/>
      <c r="C37" s="40"/>
      <c r="D37" s="188"/>
      <c r="F37" s="187"/>
      <c r="G37" s="40"/>
      <c r="H37" s="188"/>
      <c r="J37" s="187"/>
      <c r="K37" s="40"/>
      <c r="L37" s="188"/>
    </row>
    <row r="38" spans="1:12">
      <c r="B38" s="187"/>
      <c r="C38" s="40"/>
      <c r="D38" s="188"/>
      <c r="F38" s="187"/>
      <c r="G38" s="40"/>
      <c r="H38" s="188"/>
      <c r="J38" s="187"/>
      <c r="K38" s="40"/>
      <c r="L38" s="188"/>
    </row>
    <row r="39" spans="1:12">
      <c r="B39" s="187"/>
      <c r="C39" s="40"/>
      <c r="D39" s="188"/>
      <c r="F39" s="187"/>
      <c r="G39" s="40"/>
      <c r="H39" s="188"/>
      <c r="J39" s="187"/>
      <c r="K39" s="40"/>
      <c r="L39" s="188"/>
    </row>
    <row r="40" spans="1:12">
      <c r="A40" t="s">
        <v>1004</v>
      </c>
      <c r="B40" s="187">
        <f>B10+B15+B26+B33</f>
        <v>304385165.90956998</v>
      </c>
      <c r="C40" s="40">
        <v>67597000</v>
      </c>
      <c r="D40" s="188">
        <f>B40+C40</f>
        <v>371982165.90956998</v>
      </c>
      <c r="F40" s="187">
        <f>F10+F15+F26+F33</f>
        <v>305189866.90124875</v>
      </c>
      <c r="G40" s="40">
        <v>67767000</v>
      </c>
      <c r="H40" s="188">
        <f>F40+G40</f>
        <v>372956866.90124875</v>
      </c>
      <c r="J40" s="187">
        <f>J10+J15+J26+J33</f>
        <v>324192475.3309027</v>
      </c>
      <c r="K40" s="40">
        <v>64217999.999499984</v>
      </c>
      <c r="L40" s="188">
        <f>J40+K40</f>
        <v>388410475.33040267</v>
      </c>
    </row>
    <row r="41" spans="1:12">
      <c r="A41" t="s">
        <v>1005</v>
      </c>
      <c r="B41" s="187">
        <f>C10+C15+C26+C33</f>
        <v>-310928213.74000001</v>
      </c>
      <c r="C41" s="40">
        <v>-62773000</v>
      </c>
      <c r="D41" s="188">
        <f>B41+C41</f>
        <v>-373701213.74000001</v>
      </c>
      <c r="F41" s="187">
        <f>G10+G15+G26+G33</f>
        <v>-301780713.5</v>
      </c>
      <c r="G41" s="40">
        <v>-62773000</v>
      </c>
      <c r="H41" s="188">
        <f>F41+G41</f>
        <v>-364553713.5</v>
      </c>
      <c r="J41" s="187">
        <f>K10+K15+K26+K33</f>
        <v>-324572564.44203889</v>
      </c>
      <c r="K41" s="40">
        <v>-64217999.999499999</v>
      </c>
      <c r="L41" s="188">
        <f>J41+K41</f>
        <v>-388790564.44153887</v>
      </c>
    </row>
    <row r="42" spans="1:12" ht="15.75" thickBot="1">
      <c r="A42" s="1" t="s">
        <v>1022</v>
      </c>
      <c r="B42" s="189">
        <f>B40+B41</f>
        <v>-6543047.8304300308</v>
      </c>
      <c r="C42" s="40"/>
      <c r="D42" s="190">
        <f>D40+D41</f>
        <v>-1719047.8304300308</v>
      </c>
      <c r="F42" s="189">
        <f>F40+F41</f>
        <v>3409153.4012487531</v>
      </c>
      <c r="G42" s="40"/>
      <c r="H42" s="190">
        <f>H40+H41</f>
        <v>8403153.4012487531</v>
      </c>
      <c r="J42" s="189">
        <f>J40+J41</f>
        <v>-380089.11113619804</v>
      </c>
      <c r="K42" s="40"/>
      <c r="L42" s="190">
        <f>L40+L41</f>
        <v>-380089.11113619804</v>
      </c>
    </row>
    <row r="43" spans="1:12" ht="15.75" thickTop="1">
      <c r="B43" s="187"/>
      <c r="C43" s="40"/>
      <c r="D43" s="188"/>
      <c r="E43" s="27"/>
      <c r="F43" s="187"/>
      <c r="G43" s="40"/>
      <c r="H43" s="188"/>
      <c r="J43" s="187"/>
      <c r="K43" s="40"/>
      <c r="L43" s="188"/>
    </row>
    <row r="44" spans="1:12" ht="15.75" thickBot="1">
      <c r="B44" s="191"/>
      <c r="C44" s="186">
        <f>B42-D42</f>
        <v>-4824000</v>
      </c>
      <c r="D44" s="192"/>
      <c r="F44" s="191"/>
      <c r="G44" s="186">
        <f>F42-H42</f>
        <v>-4994000</v>
      </c>
      <c r="H44" s="192"/>
      <c r="J44" s="191"/>
      <c r="K44" s="186">
        <f>J42-L42</f>
        <v>0</v>
      </c>
      <c r="L44" s="192"/>
    </row>
    <row r="45" spans="1:12" hidden="1">
      <c r="E45" s="27"/>
      <c r="F45" s="27">
        <v>-18753079.399999999</v>
      </c>
    </row>
    <row r="46" spans="1:12" hidden="1">
      <c r="D46" s="27">
        <f>B41</f>
        <v>-310928213.74000001</v>
      </c>
      <c r="E46" s="27">
        <v>310928656.56</v>
      </c>
      <c r="F46" s="27">
        <f>E46+D46</f>
        <v>442.81999999284744</v>
      </c>
    </row>
    <row r="47" spans="1:12" hidden="1">
      <c r="D47" s="27">
        <f>-E47</f>
        <v>0</v>
      </c>
      <c r="F47" s="27">
        <f>F45-F46</f>
        <v>-18753522.219999991</v>
      </c>
    </row>
    <row r="48" spans="1:12" hidden="1">
      <c r="E48" s="27"/>
    </row>
    <row r="49" spans="2:10" hidden="1">
      <c r="C49" s="27">
        <f>B42</f>
        <v>-6543047.8304300308</v>
      </c>
    </row>
    <row r="50" spans="2:10" hidden="1">
      <c r="C50" s="27">
        <v>2844017.35</v>
      </c>
    </row>
    <row r="51" spans="2:10" ht="15.75" hidden="1" thickBot="1">
      <c r="C51" s="95">
        <f>C49-C50</f>
        <v>-9387065.1804300305</v>
      </c>
    </row>
    <row r="52" spans="2:10" hidden="1">
      <c r="B52" s="27">
        <f>B40</f>
        <v>304385165.90956998</v>
      </c>
    </row>
    <row r="53" spans="2:10" hidden="1">
      <c r="B53" s="27">
        <v>18753079.399999999</v>
      </c>
      <c r="E53" s="27">
        <v>332525753.30000001</v>
      </c>
    </row>
    <row r="54" spans="2:10" hidden="1">
      <c r="B54" s="96">
        <f>B52-B53</f>
        <v>285632086.50957</v>
      </c>
      <c r="E54" s="27">
        <f>-328566683.33-1115052.63</f>
        <v>-329681735.95999998</v>
      </c>
    </row>
    <row r="55" spans="2:10" hidden="1">
      <c r="B55" s="66">
        <v>313772673.89999998</v>
      </c>
      <c r="E55" s="27">
        <f>SUM(E53:E54)</f>
        <v>2844017.3400000334</v>
      </c>
    </row>
    <row r="56" spans="2:10" hidden="1">
      <c r="B56" s="27">
        <f>B55-B54</f>
        <v>28140587.390429974</v>
      </c>
    </row>
    <row r="58" spans="2:10">
      <c r="J58">
        <v>372323267.31809604</v>
      </c>
    </row>
  </sheetData>
  <mergeCells count="3">
    <mergeCell ref="B3:D3"/>
    <mergeCell ref="F3:H3"/>
    <mergeCell ref="J3:L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9"/>
  <sheetViews>
    <sheetView tabSelected="1" zoomScaleNormal="100" workbookViewId="0">
      <pane ySplit="2" topLeftCell="A208" activePane="bottomLeft" state="frozen"/>
      <selection pane="bottomLeft" activeCell="B218" sqref="B218"/>
    </sheetView>
  </sheetViews>
  <sheetFormatPr defaultRowHeight="15"/>
  <cols>
    <col min="2" max="2" width="19.28515625" bestFit="1" customWidth="1"/>
    <col min="3" max="3" width="45.42578125" customWidth="1"/>
    <col min="4" max="4" width="26" style="102" bestFit="1" customWidth="1"/>
    <col min="5" max="5" width="24" style="102" hidden="1" customWidth="1"/>
    <col min="6" max="6" width="26" style="102" bestFit="1" customWidth="1"/>
    <col min="7" max="7" width="20.7109375" style="126" hidden="1" customWidth="1"/>
    <col min="8" max="8" width="26" style="27" bestFit="1" customWidth="1"/>
    <col min="9" max="11" width="26" style="27" customWidth="1"/>
    <col min="12" max="12" width="23" style="27" bestFit="1" customWidth="1"/>
    <col min="13" max="13" width="23" style="27" customWidth="1"/>
    <col min="14" max="14" width="19.7109375" bestFit="1" customWidth="1"/>
    <col min="15" max="16" width="26" bestFit="1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152" t="s">
        <v>1124</v>
      </c>
      <c r="K2" s="231"/>
      <c r="L2" s="44"/>
      <c r="M2" s="44"/>
    </row>
    <row r="3" spans="1:13" s="1" customFormat="1">
      <c r="A3" s="39" t="s">
        <v>921</v>
      </c>
      <c r="B3" s="39"/>
      <c r="C3" s="39"/>
      <c r="D3" s="103"/>
      <c r="E3" s="103"/>
      <c r="F3" s="103"/>
      <c r="G3" s="127"/>
      <c r="H3" s="103"/>
      <c r="I3" s="135"/>
      <c r="J3" s="41"/>
      <c r="K3" s="41"/>
      <c r="L3" s="44"/>
      <c r="M3" s="44"/>
    </row>
    <row r="4" spans="1:13">
      <c r="A4" s="13">
        <v>219</v>
      </c>
      <c r="B4" s="13">
        <v>1</v>
      </c>
      <c r="C4" s="13" t="s">
        <v>16</v>
      </c>
      <c r="D4" s="104">
        <v>810266.62</v>
      </c>
      <c r="E4" s="104">
        <v>563954.65</v>
      </c>
      <c r="F4" s="104">
        <f>L4*5.8/100+L4</f>
        <v>894996.02955000009</v>
      </c>
      <c r="G4" s="128">
        <v>429265.98</v>
      </c>
      <c r="H4" s="104">
        <v>904572.48706618499</v>
      </c>
      <c r="I4" s="136">
        <v>429265.98</v>
      </c>
      <c r="J4" s="80">
        <f>SALARIES!J3</f>
        <v>958846.83629015624</v>
      </c>
      <c r="K4" s="40"/>
      <c r="L4" s="140">
        <f t="shared" ref="L4:L14" si="0">+E4/8*12</f>
        <v>845931.97500000009</v>
      </c>
    </row>
    <row r="5" spans="1:13">
      <c r="A5" s="13">
        <v>219</v>
      </c>
      <c r="B5" s="13">
        <v>6</v>
      </c>
      <c r="C5" s="13" t="s">
        <v>19</v>
      </c>
      <c r="D5" s="104">
        <v>56646</v>
      </c>
      <c r="E5" s="104">
        <v>40283.4</v>
      </c>
      <c r="F5" s="104">
        <f>L5*5.8/100+L5</f>
        <v>63929.755800000006</v>
      </c>
      <c r="G5" s="128">
        <v>31095</v>
      </c>
      <c r="H5" s="104">
        <v>64613.804187060006</v>
      </c>
      <c r="I5" s="136">
        <v>31095</v>
      </c>
      <c r="J5" s="80">
        <f>SALARIES!J4</f>
        <v>68490.632438283603</v>
      </c>
      <c r="K5" s="40"/>
      <c r="L5" s="140">
        <f t="shared" si="0"/>
        <v>60425.100000000006</v>
      </c>
    </row>
    <row r="6" spans="1:13">
      <c r="A6" s="13">
        <v>219</v>
      </c>
      <c r="B6" s="13">
        <v>8</v>
      </c>
      <c r="C6" s="13" t="s">
        <v>21</v>
      </c>
      <c r="D6" s="104">
        <v>3272.94</v>
      </c>
      <c r="E6" s="104">
        <v>1952.45</v>
      </c>
      <c r="F6" s="104">
        <f>L6*5.8/100+L6</f>
        <v>3098.5381500000003</v>
      </c>
      <c r="G6" s="128">
        <v>0</v>
      </c>
      <c r="H6" s="104">
        <v>3131.6925082050002</v>
      </c>
      <c r="I6" s="136">
        <v>0</v>
      </c>
      <c r="J6" s="80">
        <f>SALARIES!J5</f>
        <v>3319.5940586973002</v>
      </c>
      <c r="K6" s="40"/>
      <c r="L6" s="140">
        <f t="shared" si="0"/>
        <v>2928.6750000000002</v>
      </c>
    </row>
    <row r="7" spans="1:13">
      <c r="A7" s="13">
        <v>219</v>
      </c>
      <c r="B7" s="13">
        <v>10</v>
      </c>
      <c r="C7" s="13" t="s">
        <v>22</v>
      </c>
      <c r="D7" s="104">
        <v>203046.66</v>
      </c>
      <c r="E7" s="104">
        <v>120883.38</v>
      </c>
      <c r="F7" s="104">
        <f t="shared" ref="F7:F14" si="1">L7*5.8/100+L7</f>
        <v>191841.92406000002</v>
      </c>
      <c r="G7" s="128">
        <v>92612.65</v>
      </c>
      <c r="H7" s="104">
        <v>193894.63264744202</v>
      </c>
      <c r="I7" s="136">
        <v>92612.65</v>
      </c>
      <c r="J7" s="80">
        <f>SALARIES!J6</f>
        <v>205528.31060628855</v>
      </c>
      <c r="K7" s="40"/>
      <c r="L7" s="140">
        <f t="shared" si="0"/>
        <v>181325.07</v>
      </c>
    </row>
    <row r="8" spans="1:13">
      <c r="A8" s="13">
        <v>219</v>
      </c>
      <c r="B8" s="13">
        <v>11</v>
      </c>
      <c r="C8" s="13" t="s">
        <v>24</v>
      </c>
      <c r="D8" s="104">
        <v>15870.06</v>
      </c>
      <c r="E8" s="104">
        <v>7935.03</v>
      </c>
      <c r="F8" s="104">
        <f t="shared" si="1"/>
        <v>12592.892610000001</v>
      </c>
      <c r="G8" s="128">
        <v>-9997.68</v>
      </c>
      <c r="H8" s="104">
        <v>45181.14</v>
      </c>
      <c r="I8" s="136">
        <v>22590.57</v>
      </c>
      <c r="J8" s="80">
        <f>SALARIES!J7</f>
        <v>47892.008399999999</v>
      </c>
      <c r="K8" s="40"/>
      <c r="L8" s="140">
        <f t="shared" si="0"/>
        <v>11902.545</v>
      </c>
    </row>
    <row r="9" spans="1:13">
      <c r="A9" s="13">
        <v>219</v>
      </c>
      <c r="B9" s="13">
        <v>14</v>
      </c>
      <c r="C9" s="13" t="s">
        <v>25</v>
      </c>
      <c r="D9" s="104">
        <v>104829</v>
      </c>
      <c r="E9" s="104">
        <v>73885.5</v>
      </c>
      <c r="F9" s="104">
        <f t="shared" si="1"/>
        <v>117256.2885</v>
      </c>
      <c r="G9" s="128">
        <v>53677.5</v>
      </c>
      <c r="H9" s="104">
        <v>118510.93078694999</v>
      </c>
      <c r="I9" s="136">
        <v>53677.5</v>
      </c>
      <c r="J9" s="80">
        <f>SALARIES!J8</f>
        <v>125621.58663416699</v>
      </c>
      <c r="K9" s="40"/>
      <c r="L9" s="140">
        <f t="shared" si="0"/>
        <v>110828.25</v>
      </c>
    </row>
    <row r="10" spans="1:13">
      <c r="A10" s="13">
        <v>219</v>
      </c>
      <c r="B10" s="13">
        <v>16</v>
      </c>
      <c r="C10" s="13" t="s">
        <v>27</v>
      </c>
      <c r="D10" s="104">
        <v>7758.04</v>
      </c>
      <c r="E10" s="104">
        <v>5347.27</v>
      </c>
      <c r="F10" s="104">
        <f t="shared" si="1"/>
        <v>8486.1174900000005</v>
      </c>
      <c r="G10" s="128">
        <v>4027.86</v>
      </c>
      <c r="H10" s="104">
        <v>8576.918947143</v>
      </c>
      <c r="I10" s="136">
        <v>4027.86</v>
      </c>
      <c r="J10" s="80">
        <f>SALARIES!J9</f>
        <v>9091.5340839715791</v>
      </c>
      <c r="K10" s="40"/>
      <c r="L10" s="140">
        <f t="shared" si="0"/>
        <v>8020.9050000000007</v>
      </c>
    </row>
    <row r="11" spans="1:13">
      <c r="A11" s="13">
        <v>219</v>
      </c>
      <c r="B11" s="13">
        <v>17</v>
      </c>
      <c r="C11" s="13" t="s">
        <v>29</v>
      </c>
      <c r="D11" s="104">
        <v>3762</v>
      </c>
      <c r="E11" s="104">
        <v>2633.4</v>
      </c>
      <c r="F11" s="104">
        <v>14179.21</v>
      </c>
      <c r="G11" s="128">
        <v>1881</v>
      </c>
      <c r="H11" s="104">
        <v>14330.92330206</v>
      </c>
      <c r="I11" s="136">
        <v>1881</v>
      </c>
      <c r="J11" s="80">
        <f>SALARIES!J10</f>
        <v>15190.7787001836</v>
      </c>
      <c r="K11" s="40"/>
      <c r="L11" s="140">
        <f t="shared" si="0"/>
        <v>3950.1000000000004</v>
      </c>
    </row>
    <row r="12" spans="1:13">
      <c r="A12" s="13">
        <v>219</v>
      </c>
      <c r="B12" s="13">
        <v>18</v>
      </c>
      <c r="C12" s="13" t="s">
        <v>31</v>
      </c>
      <c r="D12" s="104">
        <v>38878.28</v>
      </c>
      <c r="E12" s="104">
        <v>19439.14</v>
      </c>
      <c r="F12" s="104">
        <f t="shared" si="1"/>
        <v>30849.91518</v>
      </c>
      <c r="G12" s="128">
        <v>20421.66</v>
      </c>
      <c r="H12" s="104">
        <v>31180.009272425999</v>
      </c>
      <c r="I12" s="136">
        <v>20421.66</v>
      </c>
      <c r="J12" s="80">
        <f>SALARIES!J11</f>
        <v>33050.809828771562</v>
      </c>
      <c r="K12" s="40"/>
      <c r="L12" s="140">
        <f t="shared" si="0"/>
        <v>29158.71</v>
      </c>
    </row>
    <row r="13" spans="1:13">
      <c r="A13" s="13">
        <v>219</v>
      </c>
      <c r="B13" s="13">
        <v>102</v>
      </c>
      <c r="C13" s="13" t="s">
        <v>33</v>
      </c>
      <c r="D13" s="104">
        <v>9528.1200000000008</v>
      </c>
      <c r="E13" s="104">
        <v>6535.2</v>
      </c>
      <c r="F13" s="104">
        <f t="shared" si="1"/>
        <v>10371.3624</v>
      </c>
      <c r="G13" s="128">
        <v>5161.8599999999997</v>
      </c>
      <c r="H13" s="104">
        <v>10482.335977680001</v>
      </c>
      <c r="I13" s="136">
        <v>5161.8599999999997</v>
      </c>
      <c r="J13" s="80">
        <f>SALARIES!J12</f>
        <v>11111.276136340801</v>
      </c>
      <c r="K13" s="40"/>
      <c r="L13" s="140">
        <f t="shared" si="0"/>
        <v>9802.7999999999993</v>
      </c>
    </row>
    <row r="14" spans="1:13">
      <c r="A14" s="13">
        <v>219</v>
      </c>
      <c r="B14" s="13">
        <v>104</v>
      </c>
      <c r="C14" s="13" t="s">
        <v>34</v>
      </c>
      <c r="D14" s="104">
        <v>406.8</v>
      </c>
      <c r="E14" s="104">
        <v>284.76</v>
      </c>
      <c r="F14" s="104">
        <f t="shared" si="1"/>
        <v>451.91411999999997</v>
      </c>
      <c r="G14" s="128">
        <v>217.5</v>
      </c>
      <c r="H14" s="104">
        <v>456.74960108399995</v>
      </c>
      <c r="I14" s="136">
        <v>217.5</v>
      </c>
      <c r="J14" s="80">
        <f>SALARIES!J13</f>
        <v>484.15457714903994</v>
      </c>
      <c r="K14" s="40"/>
      <c r="L14" s="140">
        <f t="shared" si="0"/>
        <v>427.14</v>
      </c>
    </row>
    <row r="15" spans="1:13">
      <c r="D15" s="105">
        <f t="shared" ref="D15:J15" si="2">SUM(D4:D14)</f>
        <v>1254264.5200000003</v>
      </c>
      <c r="E15" s="105">
        <f t="shared" si="2"/>
        <v>843134.18</v>
      </c>
      <c r="F15" s="105">
        <f t="shared" si="2"/>
        <v>1348053.9478600004</v>
      </c>
      <c r="G15" s="129">
        <f t="shared" si="2"/>
        <v>628363.32999999996</v>
      </c>
      <c r="H15" s="105">
        <f t="shared" si="2"/>
        <v>1394931.6242962349</v>
      </c>
      <c r="I15" s="137">
        <f t="shared" si="2"/>
        <v>660951.57999999996</v>
      </c>
      <c r="J15" s="74">
        <f t="shared" si="2"/>
        <v>1478627.5217540092</v>
      </c>
      <c r="K15" s="74"/>
    </row>
    <row r="16" spans="1:13">
      <c r="D16" s="105"/>
      <c r="E16" s="105"/>
      <c r="F16" s="105"/>
      <c r="G16" s="129"/>
      <c r="H16" s="105"/>
      <c r="I16" s="137"/>
      <c r="J16" s="47"/>
      <c r="K16" s="47"/>
    </row>
    <row r="17" spans="1:16">
      <c r="A17" s="1" t="s">
        <v>44</v>
      </c>
      <c r="D17" s="105"/>
      <c r="E17" s="105"/>
      <c r="F17" s="105"/>
      <c r="G17" s="129"/>
      <c r="H17" s="105"/>
      <c r="I17" s="137"/>
      <c r="J17" s="47"/>
      <c r="K17" s="47"/>
    </row>
    <row r="18" spans="1:16">
      <c r="A18" s="13">
        <v>219</v>
      </c>
      <c r="B18" s="13">
        <v>210</v>
      </c>
      <c r="C18" s="13" t="s">
        <v>44</v>
      </c>
      <c r="D18" s="104">
        <v>15000</v>
      </c>
      <c r="E18" s="104">
        <v>0</v>
      </c>
      <c r="F18" s="104">
        <f>'NON CASH'!G3</f>
        <v>15300</v>
      </c>
      <c r="G18" s="128">
        <v>0</v>
      </c>
      <c r="H18" s="104">
        <f>'NON CASH'!H3</f>
        <v>16065</v>
      </c>
      <c r="I18" s="136">
        <f>H18</f>
        <v>16065</v>
      </c>
      <c r="J18" s="80">
        <f>'NON CASH'!I3</f>
        <v>16386.3</v>
      </c>
      <c r="K18" s="40"/>
    </row>
    <row r="19" spans="1:16">
      <c r="A19" s="42"/>
      <c r="B19" s="42"/>
      <c r="C19" s="42"/>
      <c r="D19" s="106"/>
      <c r="E19" s="106"/>
      <c r="F19" s="107">
        <f>F18</f>
        <v>15300</v>
      </c>
      <c r="G19" s="131">
        <f>G18</f>
        <v>0</v>
      </c>
      <c r="H19" s="107">
        <f>H18</f>
        <v>16065</v>
      </c>
      <c r="I19" s="138">
        <f>I18</f>
        <v>16065</v>
      </c>
      <c r="J19" s="92">
        <f>J18</f>
        <v>16386.3</v>
      </c>
      <c r="K19" s="92"/>
    </row>
    <row r="20" spans="1:16" s="1" customFormat="1">
      <c r="A20" s="1" t="s">
        <v>922</v>
      </c>
      <c r="D20" s="108"/>
      <c r="E20" s="108"/>
      <c r="F20" s="108"/>
      <c r="G20" s="132"/>
      <c r="H20" s="108"/>
      <c r="I20" s="139"/>
      <c r="J20" s="44"/>
      <c r="K20" s="44"/>
      <c r="L20" s="44"/>
      <c r="M20" s="44"/>
    </row>
    <row r="21" spans="1:16">
      <c r="A21" s="13">
        <v>219</v>
      </c>
      <c r="B21" s="13">
        <v>193</v>
      </c>
      <c r="C21" s="13" t="s">
        <v>36</v>
      </c>
      <c r="D21" s="104">
        <v>150000</v>
      </c>
      <c r="E21" s="104">
        <v>0</v>
      </c>
      <c r="F21" s="104">
        <v>650000</v>
      </c>
      <c r="G21" s="128">
        <v>326000</v>
      </c>
      <c r="H21" s="104">
        <v>650000</v>
      </c>
      <c r="I21" s="136">
        <v>326000</v>
      </c>
      <c r="J21" s="80">
        <v>0</v>
      </c>
      <c r="K21" s="40">
        <f>I21/7*12</f>
        <v>558857.14285714284</v>
      </c>
    </row>
    <row r="22" spans="1:16">
      <c r="A22" s="13">
        <v>219</v>
      </c>
      <c r="B22" s="13">
        <v>195</v>
      </c>
      <c r="C22" s="13" t="s">
        <v>38</v>
      </c>
      <c r="D22" s="104">
        <v>45000</v>
      </c>
      <c r="E22" s="104">
        <v>19153.259999999998</v>
      </c>
      <c r="F22" s="104">
        <v>45000</v>
      </c>
      <c r="G22" s="128">
        <v>51475.040000000001</v>
      </c>
      <c r="H22" s="104">
        <v>80000</v>
      </c>
      <c r="I22" s="136">
        <v>51475.040000000001</v>
      </c>
      <c r="J22" s="80">
        <v>60000</v>
      </c>
      <c r="K22" s="40">
        <f>I22/7*12</f>
        <v>88242.925714285724</v>
      </c>
    </row>
    <row r="23" spans="1:16">
      <c r="A23" s="13">
        <v>219</v>
      </c>
      <c r="B23" s="13">
        <v>201</v>
      </c>
      <c r="C23" s="13" t="s">
        <v>40</v>
      </c>
      <c r="D23" s="104">
        <v>15000</v>
      </c>
      <c r="E23" s="104">
        <v>0</v>
      </c>
      <c r="F23" s="104">
        <v>0</v>
      </c>
      <c r="G23" s="128"/>
      <c r="H23" s="104">
        <v>0</v>
      </c>
      <c r="I23" s="136">
        <v>0</v>
      </c>
      <c r="J23" s="80">
        <v>0</v>
      </c>
      <c r="K23" s="40">
        <f>I23/7*12</f>
        <v>0</v>
      </c>
    </row>
    <row r="24" spans="1:16">
      <c r="A24" s="13">
        <v>219</v>
      </c>
      <c r="B24" s="13">
        <v>204</v>
      </c>
      <c r="C24" s="13" t="s">
        <v>42</v>
      </c>
      <c r="D24" s="104">
        <v>60000</v>
      </c>
      <c r="E24" s="104">
        <v>3898.62</v>
      </c>
      <c r="F24" s="104">
        <v>0</v>
      </c>
      <c r="G24" s="128">
        <v>2330.69</v>
      </c>
      <c r="H24" s="104">
        <v>0</v>
      </c>
      <c r="I24" s="136">
        <v>2330.69</v>
      </c>
      <c r="J24" s="80">
        <v>0</v>
      </c>
      <c r="K24" s="40">
        <f>I24/7*12</f>
        <v>3995.4685714285715</v>
      </c>
    </row>
    <row r="25" spans="1:16" ht="15.75" thickBot="1">
      <c r="F25" s="105">
        <f>SUM(F21:F24)</f>
        <v>695000</v>
      </c>
      <c r="G25" s="129">
        <f>SUM(G21:G24)</f>
        <v>379805.73</v>
      </c>
      <c r="H25" s="105">
        <f>SUM(H21:H24)</f>
        <v>730000</v>
      </c>
      <c r="I25" s="137">
        <f>SUM(I21:I24)</f>
        <v>379805.73</v>
      </c>
      <c r="J25" s="74">
        <f>SUM(J21:J24)</f>
        <v>60000</v>
      </c>
      <c r="K25" s="40"/>
    </row>
    <row r="26" spans="1:16" ht="15.75" thickBot="1">
      <c r="D26" s="105"/>
      <c r="E26" s="105"/>
      <c r="F26" s="105"/>
      <c r="G26" s="129"/>
      <c r="H26" s="105"/>
      <c r="I26" s="137"/>
      <c r="J26" s="47"/>
      <c r="K26" s="40"/>
      <c r="M26" s="61" t="s">
        <v>916</v>
      </c>
      <c r="N26" s="221" t="s">
        <v>1105</v>
      </c>
      <c r="O26" s="59" t="s">
        <v>1103</v>
      </c>
      <c r="P26" s="59" t="s">
        <v>1117</v>
      </c>
    </row>
    <row r="27" spans="1:16" s="1" customFormat="1">
      <c r="A27" s="1" t="s">
        <v>923</v>
      </c>
      <c r="D27" s="108"/>
      <c r="E27" s="108"/>
      <c r="F27" s="108"/>
      <c r="G27" s="132"/>
      <c r="H27" s="108"/>
      <c r="I27" s="139"/>
      <c r="J27" s="44"/>
      <c r="K27" s="40"/>
      <c r="L27" s="44" t="s">
        <v>939</v>
      </c>
      <c r="M27" s="44">
        <f>D15+D26</f>
        <v>1254264.5200000003</v>
      </c>
      <c r="N27" s="49">
        <f>F15+F19+F25</f>
        <v>2058353.9478600004</v>
      </c>
      <c r="O27" s="44">
        <f>H15+H19+H25</f>
        <v>2140996.6242962349</v>
      </c>
      <c r="P27" s="44">
        <f>J15+J19+J25</f>
        <v>1555013.8217540092</v>
      </c>
    </row>
    <row r="28" spans="1:16">
      <c r="A28" s="13">
        <v>219</v>
      </c>
      <c r="B28" s="13">
        <v>8817</v>
      </c>
      <c r="C28" s="13" t="s">
        <v>45</v>
      </c>
      <c r="D28" s="104">
        <v>-30000</v>
      </c>
      <c r="E28" s="104">
        <v>-3214.86</v>
      </c>
      <c r="F28" s="104">
        <v>-30000</v>
      </c>
      <c r="G28" s="128">
        <v>-1957.69</v>
      </c>
      <c r="H28" s="104">
        <f>'OTHER REVENUE'!H4</f>
        <v>-30000</v>
      </c>
      <c r="I28" s="136">
        <v>-3792.58</v>
      </c>
      <c r="J28" s="80">
        <v>-30000</v>
      </c>
      <c r="K28" s="40">
        <f>I28/7*12</f>
        <v>-6501.5657142857144</v>
      </c>
      <c r="L28" s="44" t="s">
        <v>940</v>
      </c>
      <c r="M28" s="44">
        <f>D31</f>
        <v>-1986406.9</v>
      </c>
      <c r="N28" s="27">
        <f>F32</f>
        <v>-3870644.1800000006</v>
      </c>
      <c r="O28" s="27">
        <f>H32</f>
        <v>-3870644.1800000006</v>
      </c>
      <c r="P28" s="27">
        <f>J32</f>
        <v>-3872358.4657142865</v>
      </c>
    </row>
    <row r="29" spans="1:16" ht="15.75" thickBot="1">
      <c r="A29" s="13">
        <v>219</v>
      </c>
      <c r="B29" s="13">
        <v>8868</v>
      </c>
      <c r="C29" s="13" t="s">
        <v>48</v>
      </c>
      <c r="D29" s="104">
        <v>0</v>
      </c>
      <c r="E29" s="104">
        <v>-609.5</v>
      </c>
      <c r="F29" s="104">
        <v>-1000</v>
      </c>
      <c r="G29" s="128">
        <v>0</v>
      </c>
      <c r="H29" s="104">
        <f>'OTHER REVENUE'!H5</f>
        <v>-1000</v>
      </c>
      <c r="I29" s="136">
        <v>0</v>
      </c>
      <c r="J29" s="80">
        <v>-1000</v>
      </c>
      <c r="K29" s="40">
        <f>I29/7*12</f>
        <v>0</v>
      </c>
      <c r="M29" s="56">
        <f>M27+M28</f>
        <v>-732142.37999999966</v>
      </c>
      <c r="N29" s="56">
        <f>N27+N28</f>
        <v>-1812290.2321400002</v>
      </c>
      <c r="O29" s="56">
        <f>O27+O28</f>
        <v>-1729647.5557037657</v>
      </c>
      <c r="P29" s="56">
        <f>P27+P28</f>
        <v>-2317344.6439602775</v>
      </c>
    </row>
    <row r="30" spans="1:16" ht="15.75" thickTop="1">
      <c r="A30" s="97">
        <v>219</v>
      </c>
      <c r="B30" s="97">
        <v>8869</v>
      </c>
      <c r="C30" s="97" t="s">
        <v>1121</v>
      </c>
      <c r="D30" s="117"/>
      <c r="E30" s="117"/>
      <c r="F30" s="117"/>
      <c r="G30" s="117"/>
      <c r="H30" s="117"/>
      <c r="I30" s="235">
        <v>1000</v>
      </c>
      <c r="J30" s="84">
        <v>-1714.2857142857099</v>
      </c>
      <c r="K30" s="40"/>
      <c r="M30" s="332"/>
      <c r="N30" s="332"/>
      <c r="O30" s="332"/>
      <c r="P30" s="332"/>
    </row>
    <row r="31" spans="1:16">
      <c r="A31" s="13">
        <v>219</v>
      </c>
      <c r="B31" s="13">
        <v>8875</v>
      </c>
      <c r="C31" s="13" t="s">
        <v>49</v>
      </c>
      <c r="D31" s="104">
        <v>-1986406.9</v>
      </c>
      <c r="E31" s="104">
        <v>0</v>
      </c>
      <c r="F31" s="104">
        <f>GRANTS!G3</f>
        <v>-3839644.1800000006</v>
      </c>
      <c r="G31" s="128">
        <v>0</v>
      </c>
      <c r="H31" s="104">
        <f>GRANTS!H3</f>
        <v>-3839644.1800000006</v>
      </c>
      <c r="I31" s="136">
        <v>0</v>
      </c>
      <c r="J31" s="84">
        <f>GRANTS!I3</f>
        <v>-3839644.1800000006</v>
      </c>
      <c r="K31" s="40">
        <f>I31/7*12</f>
        <v>0</v>
      </c>
    </row>
    <row r="32" spans="1:16">
      <c r="D32" s="105">
        <f t="shared" ref="D32:J32" si="3">SUM(D28:D31)</f>
        <v>-2016406.9</v>
      </c>
      <c r="E32" s="105">
        <f t="shared" si="3"/>
        <v>-3824.36</v>
      </c>
      <c r="F32" s="105">
        <f t="shared" si="3"/>
        <v>-3870644.1800000006</v>
      </c>
      <c r="G32" s="129">
        <f t="shared" si="3"/>
        <v>-1957.69</v>
      </c>
      <c r="H32" s="105">
        <f t="shared" si="3"/>
        <v>-3870644.1800000006</v>
      </c>
      <c r="I32" s="137">
        <f t="shared" si="3"/>
        <v>-2792.58</v>
      </c>
      <c r="J32" s="74">
        <f t="shared" si="3"/>
        <v>-3872358.4657142865</v>
      </c>
      <c r="K32" s="74"/>
    </row>
    <row r="33" spans="1:15">
      <c r="D33" s="105"/>
      <c r="E33" s="105"/>
      <c r="F33" s="105"/>
      <c r="G33" s="129"/>
      <c r="H33" s="105"/>
      <c r="I33" s="137"/>
      <c r="J33" s="47"/>
      <c r="K33" s="47"/>
    </row>
    <row r="34" spans="1:15" s="1" customFormat="1">
      <c r="A34" s="1" t="s">
        <v>921</v>
      </c>
      <c r="D34" s="108"/>
      <c r="E34" s="108"/>
      <c r="F34" s="108"/>
      <c r="G34" s="132"/>
      <c r="H34" s="108"/>
      <c r="I34" s="139"/>
      <c r="J34" s="44"/>
      <c r="K34" s="44"/>
      <c r="L34" s="44"/>
      <c r="M34" s="44"/>
    </row>
    <row r="35" spans="1:15">
      <c r="A35" s="13">
        <v>226</v>
      </c>
      <c r="B35" s="13">
        <v>1</v>
      </c>
      <c r="C35" s="13" t="s">
        <v>16</v>
      </c>
      <c r="D35" s="104">
        <v>0</v>
      </c>
      <c r="E35" s="104">
        <v>466149.41</v>
      </c>
      <c r="F35" s="104">
        <v>0</v>
      </c>
      <c r="G35" s="128">
        <v>99031.28</v>
      </c>
      <c r="H35" s="104">
        <v>0</v>
      </c>
      <c r="I35" s="136">
        <v>99031.28</v>
      </c>
      <c r="J35" s="80">
        <f>SALARIES!J35</f>
        <v>0</v>
      </c>
      <c r="K35" s="40"/>
    </row>
    <row r="36" spans="1:15">
      <c r="A36" s="13">
        <v>226</v>
      </c>
      <c r="B36" s="13">
        <v>3</v>
      </c>
      <c r="C36" s="13" t="s">
        <v>56</v>
      </c>
      <c r="D36" s="104">
        <v>0</v>
      </c>
      <c r="E36" s="104">
        <v>3155</v>
      </c>
      <c r="F36" s="104">
        <v>0</v>
      </c>
      <c r="G36" s="128"/>
      <c r="H36" s="104">
        <v>0</v>
      </c>
      <c r="I36" s="136">
        <v>0</v>
      </c>
      <c r="J36" s="80">
        <f>SALARIES!J36</f>
        <v>0</v>
      </c>
      <c r="K36" s="40"/>
    </row>
    <row r="37" spans="1:15">
      <c r="A37" s="13">
        <v>226</v>
      </c>
      <c r="B37" s="13">
        <v>4</v>
      </c>
      <c r="C37" s="13" t="s">
        <v>58</v>
      </c>
      <c r="D37" s="104">
        <v>0</v>
      </c>
      <c r="E37" s="104">
        <v>1855.46</v>
      </c>
      <c r="F37" s="104">
        <v>0</v>
      </c>
      <c r="G37" s="128"/>
      <c r="H37" s="104">
        <v>0</v>
      </c>
      <c r="I37" s="136">
        <v>0</v>
      </c>
      <c r="J37" s="80">
        <f>SALARIES!J37</f>
        <v>0</v>
      </c>
      <c r="K37" s="40"/>
    </row>
    <row r="38" spans="1:15">
      <c r="A38" s="13">
        <v>226</v>
      </c>
      <c r="B38" s="13">
        <v>6</v>
      </c>
      <c r="C38" s="13" t="s">
        <v>19</v>
      </c>
      <c r="D38" s="104">
        <v>0</v>
      </c>
      <c r="E38" s="104">
        <v>50445.599999999999</v>
      </c>
      <c r="F38" s="104">
        <v>0</v>
      </c>
      <c r="G38" s="128">
        <v>7050</v>
      </c>
      <c r="H38" s="104">
        <v>0</v>
      </c>
      <c r="I38" s="136">
        <v>7050</v>
      </c>
      <c r="J38" s="80">
        <f>SALARIES!J38</f>
        <v>0</v>
      </c>
      <c r="K38" s="40"/>
    </row>
    <row r="39" spans="1:15">
      <c r="A39" s="13">
        <v>226</v>
      </c>
      <c r="B39" s="13">
        <v>10</v>
      </c>
      <c r="C39" s="13" t="s">
        <v>22</v>
      </c>
      <c r="D39" s="104">
        <v>0</v>
      </c>
      <c r="E39" s="104">
        <v>81788.97</v>
      </c>
      <c r="F39" s="104">
        <v>0</v>
      </c>
      <c r="G39" s="128">
        <v>19655.37</v>
      </c>
      <c r="H39" s="104">
        <v>0</v>
      </c>
      <c r="I39" s="136">
        <v>19655.37</v>
      </c>
      <c r="J39" s="80">
        <f>SALARIES!J39</f>
        <v>0</v>
      </c>
      <c r="K39" s="40"/>
    </row>
    <row r="40" spans="1:15" ht="15.75" thickBot="1">
      <c r="A40" s="13">
        <v>226</v>
      </c>
      <c r="B40" s="13">
        <v>16</v>
      </c>
      <c r="C40" s="13" t="s">
        <v>27</v>
      </c>
      <c r="D40" s="104">
        <v>0</v>
      </c>
      <c r="E40" s="104">
        <v>5005.54</v>
      </c>
      <c r="F40" s="104">
        <v>0</v>
      </c>
      <c r="G40" s="128">
        <v>1192.26</v>
      </c>
      <c r="H40" s="104">
        <v>0</v>
      </c>
      <c r="I40" s="136">
        <v>1192.26</v>
      </c>
      <c r="J40" s="80">
        <f>SALARIES!J40</f>
        <v>0</v>
      </c>
      <c r="K40" s="40"/>
    </row>
    <row r="41" spans="1:15" ht="15.75" thickBot="1">
      <c r="A41" s="13">
        <v>226</v>
      </c>
      <c r="B41" s="13">
        <v>18</v>
      </c>
      <c r="C41" s="13" t="s">
        <v>31</v>
      </c>
      <c r="D41" s="104">
        <v>0</v>
      </c>
      <c r="E41" s="104">
        <v>52213.63</v>
      </c>
      <c r="F41" s="104">
        <v>0</v>
      </c>
      <c r="G41" s="128">
        <v>13144.79</v>
      </c>
      <c r="H41" s="104">
        <v>0</v>
      </c>
      <c r="I41" s="136">
        <v>13144.79</v>
      </c>
      <c r="J41" s="80">
        <f>SALARIES!J41</f>
        <v>0</v>
      </c>
      <c r="K41" s="40"/>
      <c r="M41" s="61" t="s">
        <v>916</v>
      </c>
      <c r="N41" s="46" t="s">
        <v>1105</v>
      </c>
      <c r="O41" s="59" t="s">
        <v>1103</v>
      </c>
    </row>
    <row r="42" spans="1:15">
      <c r="A42" s="13">
        <v>226</v>
      </c>
      <c r="B42" s="13">
        <v>102</v>
      </c>
      <c r="C42" s="13" t="s">
        <v>66</v>
      </c>
      <c r="D42" s="104">
        <v>0</v>
      </c>
      <c r="E42" s="104">
        <v>5433.17</v>
      </c>
      <c r="F42" s="104">
        <v>0</v>
      </c>
      <c r="G42" s="128">
        <v>1117.99</v>
      </c>
      <c r="H42" s="104">
        <v>0</v>
      </c>
      <c r="I42" s="136">
        <v>1117.99</v>
      </c>
      <c r="J42" s="80">
        <f>SALARIES!J42</f>
        <v>0</v>
      </c>
      <c r="K42" s="40"/>
      <c r="L42" s="44" t="s">
        <v>943</v>
      </c>
      <c r="M42" s="44">
        <f>D44</f>
        <v>0</v>
      </c>
      <c r="N42" s="27">
        <f>F44</f>
        <v>0</v>
      </c>
    </row>
    <row r="43" spans="1:15">
      <c r="A43" s="13">
        <v>226</v>
      </c>
      <c r="B43" s="13">
        <v>104</v>
      </c>
      <c r="C43" s="13" t="s">
        <v>34</v>
      </c>
      <c r="D43" s="104">
        <v>0</v>
      </c>
      <c r="E43" s="104">
        <v>345.78</v>
      </c>
      <c r="F43" s="104">
        <v>0</v>
      </c>
      <c r="G43" s="128">
        <v>108.75</v>
      </c>
      <c r="H43" s="104">
        <v>0</v>
      </c>
      <c r="I43" s="136">
        <v>108.75</v>
      </c>
      <c r="J43" s="80">
        <f>SALARIES!J43</f>
        <v>0</v>
      </c>
      <c r="K43" s="40"/>
      <c r="L43" s="44" t="s">
        <v>944</v>
      </c>
      <c r="M43" s="44">
        <f>F44</f>
        <v>0</v>
      </c>
      <c r="N43" s="27">
        <v>0</v>
      </c>
    </row>
    <row r="44" spans="1:15" ht="15.75" thickBot="1">
      <c r="D44" s="105">
        <f t="shared" ref="D44:J44" si="4">SUM(D35:D43)</f>
        <v>0</v>
      </c>
      <c r="E44" s="105">
        <f t="shared" si="4"/>
        <v>666392.56000000006</v>
      </c>
      <c r="F44" s="105">
        <f t="shared" si="4"/>
        <v>0</v>
      </c>
      <c r="G44" s="129">
        <f t="shared" si="4"/>
        <v>141300.43999999997</v>
      </c>
      <c r="H44" s="105">
        <f t="shared" si="4"/>
        <v>0</v>
      </c>
      <c r="I44" s="137">
        <f t="shared" si="4"/>
        <v>141300.43999999997</v>
      </c>
      <c r="J44" s="74">
        <f t="shared" si="4"/>
        <v>0</v>
      </c>
      <c r="K44" s="74"/>
      <c r="M44" s="57">
        <v>0</v>
      </c>
      <c r="N44" s="57">
        <v>0</v>
      </c>
      <c r="O44" s="57">
        <v>0</v>
      </c>
    </row>
    <row r="45" spans="1:15" ht="15.75" thickTop="1">
      <c r="H45" s="102"/>
      <c r="I45" s="133"/>
    </row>
    <row r="46" spans="1:15" s="1" customFormat="1">
      <c r="A46" s="1" t="s">
        <v>921</v>
      </c>
      <c r="D46" s="108"/>
      <c r="E46" s="108"/>
      <c r="F46" s="108"/>
      <c r="G46" s="132"/>
      <c r="H46" s="108"/>
      <c r="I46" s="139"/>
      <c r="J46" s="44"/>
      <c r="K46" s="44"/>
      <c r="L46" s="44"/>
      <c r="M46" s="44"/>
    </row>
    <row r="47" spans="1:15">
      <c r="A47" s="13">
        <v>227</v>
      </c>
      <c r="B47" s="13">
        <v>1</v>
      </c>
      <c r="C47" s="13" t="s">
        <v>109</v>
      </c>
      <c r="D47" s="104">
        <v>233545.56</v>
      </c>
      <c r="E47" s="104">
        <v>193358.6</v>
      </c>
      <c r="F47" s="104">
        <f>L47*5.8/100+L47</f>
        <v>306860.09820000001</v>
      </c>
      <c r="G47" s="128">
        <v>168640.31</v>
      </c>
      <c r="H47" s="104">
        <v>310143.50125074002</v>
      </c>
      <c r="I47" s="136">
        <v>168640.31</v>
      </c>
      <c r="J47" s="80">
        <f>SALARIES!J47</f>
        <v>328752.11132578441</v>
      </c>
      <c r="K47" s="40"/>
      <c r="L47" s="140">
        <f t="shared" ref="L47:L56" si="5">+E47/8*12</f>
        <v>290037.90000000002</v>
      </c>
    </row>
    <row r="48" spans="1:15">
      <c r="A48" s="13">
        <v>227</v>
      </c>
      <c r="B48" s="13">
        <v>6</v>
      </c>
      <c r="C48" s="13" t="s">
        <v>110</v>
      </c>
      <c r="D48" s="104">
        <v>19119.599999999999</v>
      </c>
      <c r="E48" s="104">
        <v>16240.2</v>
      </c>
      <c r="F48" s="104">
        <f t="shared" ref="F48:F56" si="6">L48*5.8/100+L48</f>
        <v>25773.197400000005</v>
      </c>
      <c r="G48" s="128">
        <v>17469</v>
      </c>
      <c r="H48" s="104">
        <v>34938</v>
      </c>
      <c r="I48" s="136">
        <v>17469</v>
      </c>
      <c r="J48" s="80">
        <f>SALARIES!J48</f>
        <v>37034.28</v>
      </c>
      <c r="K48" s="40"/>
      <c r="L48" s="140">
        <f t="shared" si="5"/>
        <v>24360.300000000003</v>
      </c>
    </row>
    <row r="49" spans="1:13">
      <c r="A49" s="13">
        <v>227</v>
      </c>
      <c r="B49" s="13">
        <v>8</v>
      </c>
      <c r="C49" s="13" t="s">
        <v>21</v>
      </c>
      <c r="D49" s="104">
        <v>4545.1000000000004</v>
      </c>
      <c r="E49" s="104">
        <v>2272.5500000000002</v>
      </c>
      <c r="F49" s="104">
        <f t="shared" si="6"/>
        <v>3606.5368500000004</v>
      </c>
      <c r="G49" s="128">
        <v>0</v>
      </c>
      <c r="H49" s="104">
        <v>3645.1267942950003</v>
      </c>
      <c r="I49" s="136">
        <v>0</v>
      </c>
      <c r="J49" s="80">
        <f>SALARIES!J49</f>
        <v>3863.8344019527003</v>
      </c>
      <c r="K49" s="40"/>
      <c r="L49" s="140">
        <f t="shared" si="5"/>
        <v>3408.8250000000003</v>
      </c>
    </row>
    <row r="50" spans="1:13">
      <c r="A50" s="13">
        <v>227</v>
      </c>
      <c r="B50" s="13">
        <v>10</v>
      </c>
      <c r="C50" s="13" t="s">
        <v>111</v>
      </c>
      <c r="D50" s="104">
        <v>49277.279999999999</v>
      </c>
      <c r="E50" s="104">
        <v>41064.400000000001</v>
      </c>
      <c r="F50" s="104">
        <f t="shared" si="6"/>
        <v>65169.202800000006</v>
      </c>
      <c r="G50" s="128">
        <v>44859.24</v>
      </c>
      <c r="H50" s="104">
        <v>65866.513269960007</v>
      </c>
      <c r="I50" s="136">
        <v>44859.24</v>
      </c>
      <c r="J50" s="80">
        <f>SALARIES!J50</f>
        <v>69818.504066157606</v>
      </c>
      <c r="K50" s="40"/>
      <c r="L50" s="140">
        <f t="shared" si="5"/>
        <v>61596.600000000006</v>
      </c>
    </row>
    <row r="51" spans="1:13">
      <c r="A51" s="13">
        <v>227</v>
      </c>
      <c r="B51" s="13">
        <v>14</v>
      </c>
      <c r="C51" s="13" t="s">
        <v>112</v>
      </c>
      <c r="D51" s="104">
        <v>64821</v>
      </c>
      <c r="E51" s="104">
        <v>54017.5</v>
      </c>
      <c r="F51" s="104">
        <f t="shared" si="6"/>
        <v>85725.772500000006</v>
      </c>
      <c r="G51" s="128">
        <v>54017.5</v>
      </c>
      <c r="H51" s="104">
        <v>108035</v>
      </c>
      <c r="I51" s="136">
        <v>54017.5</v>
      </c>
      <c r="J51" s="80">
        <f>SALARIES!J51</f>
        <v>114517.1</v>
      </c>
      <c r="K51" s="40"/>
      <c r="L51" s="140">
        <f t="shared" si="5"/>
        <v>81026.25</v>
      </c>
    </row>
    <row r="52" spans="1:13">
      <c r="A52" s="13">
        <v>227</v>
      </c>
      <c r="B52" s="13">
        <v>16</v>
      </c>
      <c r="C52" s="13" t="s">
        <v>89</v>
      </c>
      <c r="D52" s="104">
        <v>1784.64</v>
      </c>
      <c r="E52" s="104">
        <v>1487.2</v>
      </c>
      <c r="F52" s="104">
        <f t="shared" si="6"/>
        <v>2360.1864</v>
      </c>
      <c r="G52" s="128">
        <v>1487.2</v>
      </c>
      <c r="H52" s="104">
        <v>2385.4403944800001</v>
      </c>
      <c r="I52" s="136">
        <v>1487.2</v>
      </c>
      <c r="J52" s="80">
        <f>SALARIES!J52</f>
        <v>2528.5668181487999</v>
      </c>
      <c r="K52" s="40"/>
      <c r="L52" s="140">
        <f t="shared" si="5"/>
        <v>2230.8000000000002</v>
      </c>
    </row>
    <row r="53" spans="1:13">
      <c r="A53" s="13">
        <v>227</v>
      </c>
      <c r="B53" s="13">
        <v>17</v>
      </c>
      <c r="C53" s="13" t="s">
        <v>113</v>
      </c>
      <c r="D53" s="104">
        <v>2257.1999999999998</v>
      </c>
      <c r="E53" s="104">
        <v>1881</v>
      </c>
      <c r="F53" s="104">
        <f>12985.15+884.2</f>
        <v>13869.35</v>
      </c>
      <c r="G53" s="128">
        <v>1881</v>
      </c>
      <c r="H53" s="104">
        <v>13124.0880729</v>
      </c>
      <c r="I53" s="136">
        <v>1881</v>
      </c>
      <c r="J53" s="80">
        <f>SALARIES!J53</f>
        <v>13911.533357274</v>
      </c>
      <c r="K53" s="40"/>
      <c r="L53" s="140">
        <f t="shared" si="5"/>
        <v>2821.5</v>
      </c>
    </row>
    <row r="54" spans="1:13">
      <c r="A54" s="13">
        <v>227</v>
      </c>
      <c r="B54" s="13">
        <v>18</v>
      </c>
      <c r="C54" s="13" t="s">
        <v>114</v>
      </c>
      <c r="D54" s="104">
        <v>77248.52</v>
      </c>
      <c r="E54" s="104">
        <v>38624.26</v>
      </c>
      <c r="F54" s="104">
        <f t="shared" si="6"/>
        <v>61296.700619999996</v>
      </c>
      <c r="G54" s="128">
        <v>17212.27</v>
      </c>
      <c r="H54" s="104">
        <v>61952.575316633993</v>
      </c>
      <c r="I54" s="136">
        <v>17212.27</v>
      </c>
      <c r="J54" s="80">
        <f>SALARIES!J54</f>
        <v>65669.729835632039</v>
      </c>
      <c r="K54" s="40"/>
      <c r="L54" s="140">
        <f t="shared" si="5"/>
        <v>57936.39</v>
      </c>
    </row>
    <row r="55" spans="1:13">
      <c r="A55" s="13">
        <v>227</v>
      </c>
      <c r="B55" s="13">
        <v>102</v>
      </c>
      <c r="C55" s="13" t="s">
        <v>33</v>
      </c>
      <c r="D55" s="104">
        <v>3693.92</v>
      </c>
      <c r="E55" s="104">
        <v>2808.69</v>
      </c>
      <c r="F55" s="104">
        <f>L55*5.8/100+L55</f>
        <v>4457.3910299999998</v>
      </c>
      <c r="G55" s="128">
        <v>2747.67</v>
      </c>
      <c r="H55" s="104">
        <v>4505.0851140209998</v>
      </c>
      <c r="I55" s="136">
        <v>2747.67</v>
      </c>
      <c r="J55" s="80">
        <f>SALARIES!J55</f>
        <v>4775.3902208622594</v>
      </c>
      <c r="K55" s="40"/>
      <c r="L55" s="140">
        <f t="shared" si="5"/>
        <v>4213.0349999999999</v>
      </c>
    </row>
    <row r="56" spans="1:13">
      <c r="A56" s="13">
        <v>227</v>
      </c>
      <c r="B56" s="13">
        <v>104</v>
      </c>
      <c r="C56" s="13" t="s">
        <v>115</v>
      </c>
      <c r="D56" s="104">
        <v>81.36</v>
      </c>
      <c r="E56" s="104">
        <v>67.8</v>
      </c>
      <c r="F56" s="104">
        <f t="shared" si="6"/>
        <v>107.59859999999999</v>
      </c>
      <c r="G56" s="128">
        <v>72.5</v>
      </c>
      <c r="H56" s="104">
        <v>108.74990501999999</v>
      </c>
      <c r="I56" s="136">
        <v>72.5</v>
      </c>
      <c r="J56" s="80">
        <f>SALARIES!J56</f>
        <v>115.27489932119998</v>
      </c>
      <c r="K56" s="40"/>
      <c r="L56" s="140">
        <f t="shared" si="5"/>
        <v>101.69999999999999</v>
      </c>
    </row>
    <row r="57" spans="1:13">
      <c r="D57" s="105">
        <f t="shared" ref="D57:J57" si="7">SUM(D47:D56)</f>
        <v>456374.18000000005</v>
      </c>
      <c r="E57" s="105">
        <f t="shared" si="7"/>
        <v>351822.2</v>
      </c>
      <c r="F57" s="105">
        <f t="shared" si="7"/>
        <v>569226.03440000012</v>
      </c>
      <c r="G57" s="129">
        <f t="shared" si="7"/>
        <v>308386.69</v>
      </c>
      <c r="H57" s="105">
        <f t="shared" si="7"/>
        <v>604704.08011804998</v>
      </c>
      <c r="I57" s="137">
        <f t="shared" si="7"/>
        <v>308386.69</v>
      </c>
      <c r="J57" s="74">
        <f t="shared" si="7"/>
        <v>640986.32492513291</v>
      </c>
      <c r="K57" s="74"/>
    </row>
    <row r="58" spans="1:13" s="1" customFormat="1">
      <c r="A58" s="1" t="s">
        <v>924</v>
      </c>
      <c r="D58" s="108"/>
      <c r="E58" s="108"/>
      <c r="F58" s="108"/>
      <c r="G58" s="132"/>
      <c r="H58" s="108"/>
      <c r="I58" s="139"/>
      <c r="J58" s="44"/>
      <c r="K58" s="44"/>
      <c r="L58" s="44"/>
      <c r="M58" s="44"/>
    </row>
    <row r="59" spans="1:13">
      <c r="A59" s="13">
        <v>227</v>
      </c>
      <c r="B59" s="13">
        <v>195</v>
      </c>
      <c r="C59" s="13" t="s">
        <v>116</v>
      </c>
      <c r="D59" s="104">
        <v>15000</v>
      </c>
      <c r="E59" s="104">
        <v>0</v>
      </c>
      <c r="F59" s="104">
        <v>15000</v>
      </c>
      <c r="G59" s="128">
        <v>3266.26</v>
      </c>
      <c r="H59" s="104">
        <v>15000</v>
      </c>
      <c r="I59" s="136">
        <v>3266.26</v>
      </c>
      <c r="J59" s="80">
        <v>10000</v>
      </c>
      <c r="K59" s="40">
        <f>I59/7*12</f>
        <v>5599.3028571428576</v>
      </c>
    </row>
    <row r="60" spans="1:13">
      <c r="A60" s="13">
        <v>227</v>
      </c>
      <c r="B60" s="13">
        <v>196</v>
      </c>
      <c r="C60" s="13" t="s">
        <v>117</v>
      </c>
      <c r="D60" s="104">
        <v>35000</v>
      </c>
      <c r="E60" s="104">
        <v>0</v>
      </c>
      <c r="F60" s="104">
        <v>0</v>
      </c>
      <c r="G60" s="128"/>
      <c r="H60" s="104">
        <v>0</v>
      </c>
      <c r="I60" s="136">
        <v>0</v>
      </c>
      <c r="J60" s="80">
        <v>0</v>
      </c>
      <c r="K60" s="40">
        <f>I60/7*12</f>
        <v>0</v>
      </c>
    </row>
    <row r="61" spans="1:13">
      <c r="A61" s="13">
        <v>227</v>
      </c>
      <c r="B61" s="13">
        <v>200</v>
      </c>
      <c r="C61" s="13" t="s">
        <v>118</v>
      </c>
      <c r="D61" s="104">
        <v>50000</v>
      </c>
      <c r="E61" s="104">
        <v>47100</v>
      </c>
      <c r="F61" s="104">
        <v>70000</v>
      </c>
      <c r="G61" s="128">
        <v>0</v>
      </c>
      <c r="H61" s="104">
        <v>70000</v>
      </c>
      <c r="I61" s="136">
        <v>0</v>
      </c>
      <c r="J61" s="80">
        <v>100000</v>
      </c>
      <c r="K61" s="40">
        <f>I61/7*12</f>
        <v>0</v>
      </c>
    </row>
    <row r="62" spans="1:13">
      <c r="A62" s="13">
        <v>227</v>
      </c>
      <c r="B62" s="13">
        <v>201</v>
      </c>
      <c r="C62" s="13" t="s">
        <v>119</v>
      </c>
      <c r="D62" s="104">
        <v>20000</v>
      </c>
      <c r="E62" s="104">
        <v>0</v>
      </c>
      <c r="F62" s="104">
        <v>180000</v>
      </c>
      <c r="G62" s="128">
        <v>0</v>
      </c>
      <c r="H62" s="104">
        <v>180000</v>
      </c>
      <c r="I62" s="136">
        <v>7000</v>
      </c>
      <c r="J62" s="80">
        <v>0</v>
      </c>
      <c r="K62" s="40">
        <f>I62/7*12</f>
        <v>12000</v>
      </c>
    </row>
    <row r="63" spans="1:13">
      <c r="D63" s="105">
        <f t="shared" ref="D63:J63" si="8">SUM(D59:D62)</f>
        <v>120000</v>
      </c>
      <c r="E63" s="105">
        <f t="shared" si="8"/>
        <v>47100</v>
      </c>
      <c r="F63" s="105">
        <f t="shared" si="8"/>
        <v>265000</v>
      </c>
      <c r="G63" s="129">
        <f t="shared" si="8"/>
        <v>3266.26</v>
      </c>
      <c r="H63" s="105">
        <f t="shared" si="8"/>
        <v>265000</v>
      </c>
      <c r="I63" s="137">
        <f t="shared" si="8"/>
        <v>10266.26</v>
      </c>
      <c r="J63" s="74">
        <f t="shared" si="8"/>
        <v>110000</v>
      </c>
      <c r="K63" s="74"/>
    </row>
    <row r="64" spans="1:13" s="1" customFormat="1">
      <c r="A64" s="1" t="s">
        <v>925</v>
      </c>
      <c r="D64" s="108"/>
      <c r="E64" s="108"/>
      <c r="F64" s="108"/>
      <c r="G64" s="132"/>
      <c r="H64" s="108"/>
      <c r="I64" s="139"/>
      <c r="J64" s="44"/>
      <c r="K64" s="44"/>
      <c r="L64" s="44"/>
      <c r="M64" s="44"/>
    </row>
    <row r="65" spans="1:16">
      <c r="A65" s="13">
        <v>227</v>
      </c>
      <c r="B65" s="13">
        <v>465</v>
      </c>
      <c r="C65" s="13" t="s">
        <v>120</v>
      </c>
      <c r="D65" s="104">
        <v>15000</v>
      </c>
      <c r="E65" s="104">
        <v>0</v>
      </c>
      <c r="F65" s="104">
        <v>0</v>
      </c>
      <c r="G65" s="128"/>
      <c r="H65" s="104">
        <v>0</v>
      </c>
      <c r="I65" s="136"/>
      <c r="J65" s="80">
        <f>CAPITAL!G8</f>
        <v>0</v>
      </c>
      <c r="K65" s="40"/>
    </row>
    <row r="66" spans="1:16" ht="15.75" thickBot="1">
      <c r="D66" s="105">
        <f t="shared" ref="D66:J66" si="9">D65</f>
        <v>15000</v>
      </c>
      <c r="E66" s="105">
        <f t="shared" si="9"/>
        <v>0</v>
      </c>
      <c r="F66" s="105">
        <f t="shared" si="9"/>
        <v>0</v>
      </c>
      <c r="G66" s="129">
        <f t="shared" si="9"/>
        <v>0</v>
      </c>
      <c r="H66" s="105">
        <f t="shared" si="9"/>
        <v>0</v>
      </c>
      <c r="I66" s="137">
        <f t="shared" si="9"/>
        <v>0</v>
      </c>
      <c r="J66" s="74">
        <f t="shared" si="9"/>
        <v>0</v>
      </c>
      <c r="K66" s="74"/>
    </row>
    <row r="67" spans="1:16" s="1" customFormat="1" ht="15.75" thickBot="1">
      <c r="A67" s="1" t="s">
        <v>923</v>
      </c>
      <c r="D67" s="108"/>
      <c r="E67" s="108"/>
      <c r="F67" s="108"/>
      <c r="G67" s="132"/>
      <c r="H67" s="108"/>
      <c r="I67" s="139"/>
      <c r="J67" s="44"/>
      <c r="K67" s="44"/>
      <c r="L67" s="44"/>
      <c r="M67" s="61" t="s">
        <v>916</v>
      </c>
      <c r="N67" s="221" t="s">
        <v>1105</v>
      </c>
      <c r="O67" s="59" t="s">
        <v>1103</v>
      </c>
      <c r="P67" s="59" t="s">
        <v>1117</v>
      </c>
    </row>
    <row r="68" spans="1:16">
      <c r="A68" s="13">
        <v>227</v>
      </c>
      <c r="B68" s="13">
        <v>8875</v>
      </c>
      <c r="C68" s="13" t="s">
        <v>121</v>
      </c>
      <c r="D68" s="104">
        <v>-848685</v>
      </c>
      <c r="E68" s="104">
        <v>0</v>
      </c>
      <c r="F68" s="104">
        <f>GRANTS!G6</f>
        <v>-1701922.2800000003</v>
      </c>
      <c r="G68" s="128">
        <v>0</v>
      </c>
      <c r="H68" s="104">
        <f>GRANTS!H6</f>
        <v>-1701922.2800000003</v>
      </c>
      <c r="I68" s="136"/>
      <c r="J68" s="84">
        <f>GRANTS!I6</f>
        <v>-1701922.2800000003</v>
      </c>
      <c r="K68" s="40"/>
      <c r="L68" s="44" t="s">
        <v>941</v>
      </c>
      <c r="M68" s="44">
        <f>D57+D63+D66</f>
        <v>591374.18000000005</v>
      </c>
      <c r="N68" s="27">
        <f>F57+F63+F66</f>
        <v>834226.03440000012</v>
      </c>
      <c r="O68" s="27">
        <f>H57+H63+H66</f>
        <v>869704.08011804998</v>
      </c>
      <c r="P68" s="27">
        <f>J57+J63</f>
        <v>750986.32492513291</v>
      </c>
    </row>
    <row r="69" spans="1:16">
      <c r="D69" s="105">
        <f t="shared" ref="D69:J69" si="10">D68</f>
        <v>-848685</v>
      </c>
      <c r="E69" s="105">
        <f t="shared" si="10"/>
        <v>0</v>
      </c>
      <c r="F69" s="105">
        <f t="shared" si="10"/>
        <v>-1701922.2800000003</v>
      </c>
      <c r="G69" s="129">
        <f t="shared" si="10"/>
        <v>0</v>
      </c>
      <c r="H69" s="105">
        <f t="shared" si="10"/>
        <v>-1701922.2800000003</v>
      </c>
      <c r="I69" s="137">
        <f t="shared" si="10"/>
        <v>0</v>
      </c>
      <c r="J69" s="74">
        <f t="shared" si="10"/>
        <v>-1701922.2800000003</v>
      </c>
      <c r="K69" s="74"/>
      <c r="L69" s="44" t="s">
        <v>942</v>
      </c>
      <c r="M69" s="44">
        <f>D69</f>
        <v>-848685</v>
      </c>
      <c r="N69" s="27">
        <f>F69</f>
        <v>-1701922.2800000003</v>
      </c>
      <c r="O69" s="27">
        <f>H69</f>
        <v>-1701922.2800000003</v>
      </c>
      <c r="P69" s="27">
        <f>J69</f>
        <v>-1701922.2800000003</v>
      </c>
    </row>
    <row r="70" spans="1:16" ht="15.75" thickBot="1">
      <c r="H70" s="102"/>
      <c r="I70" s="133"/>
      <c r="M70" s="50">
        <f>M68+M69</f>
        <v>-257310.81999999995</v>
      </c>
      <c r="N70" s="50">
        <f>N68+N69</f>
        <v>-867696.24560000014</v>
      </c>
      <c r="O70" s="50">
        <f>O68+O69</f>
        <v>-832218.19988195028</v>
      </c>
      <c r="P70" s="50">
        <f>P68+P69</f>
        <v>-950935.95507486735</v>
      </c>
    </row>
    <row r="71" spans="1:16" ht="15.75" thickTop="1">
      <c r="A71" s="35"/>
      <c r="B71" s="35"/>
      <c r="C71" s="35"/>
      <c r="H71" s="102"/>
      <c r="I71" s="133"/>
      <c r="J71" s="38"/>
      <c r="K71" s="38"/>
      <c r="N71" s="40"/>
    </row>
    <row r="72" spans="1:16" s="1" customFormat="1">
      <c r="A72" s="1" t="s">
        <v>926</v>
      </c>
      <c r="D72" s="108"/>
      <c r="E72" s="108"/>
      <c r="F72" s="108"/>
      <c r="G72" s="132"/>
      <c r="H72" s="108"/>
      <c r="I72" s="139"/>
      <c r="J72" s="44"/>
      <c r="K72" s="44"/>
      <c r="L72" s="44"/>
      <c r="M72" s="44"/>
    </row>
    <row r="73" spans="1:16">
      <c r="A73" s="13">
        <v>229</v>
      </c>
      <c r="B73" s="13">
        <v>1</v>
      </c>
      <c r="C73" s="13" t="s">
        <v>16</v>
      </c>
      <c r="D73" s="104">
        <v>473304.2</v>
      </c>
      <c r="E73" s="104">
        <v>317089.68</v>
      </c>
      <c r="F73" s="104">
        <f>L73*5.8/100+L73</f>
        <v>503221.32216000004</v>
      </c>
      <c r="G73" s="128">
        <v>215170.48</v>
      </c>
      <c r="H73" s="104">
        <v>508605.79030711204</v>
      </c>
      <c r="I73" s="136">
        <v>215170.48</v>
      </c>
      <c r="J73" s="80">
        <f>SALARIES!J59</f>
        <v>539122.13772553881</v>
      </c>
      <c r="K73" s="40"/>
      <c r="L73" s="140">
        <f t="shared" ref="L73:L84" si="11">+E73/8*12</f>
        <v>475634.52</v>
      </c>
      <c r="N73" s="27"/>
    </row>
    <row r="74" spans="1:16">
      <c r="A74" s="13">
        <v>229</v>
      </c>
      <c r="B74" s="13">
        <v>3</v>
      </c>
      <c r="C74" s="13" t="s">
        <v>125</v>
      </c>
      <c r="D74" s="104">
        <v>5220</v>
      </c>
      <c r="E74" s="104">
        <v>2610</v>
      </c>
      <c r="F74" s="104">
        <v>4611.54</v>
      </c>
      <c r="G74" s="128">
        <v>0</v>
      </c>
      <c r="H74" s="104">
        <v>4660.8834779999997</v>
      </c>
      <c r="I74" s="136">
        <v>0</v>
      </c>
      <c r="J74" s="80">
        <f>SALARIES!J60</f>
        <v>4940.5364866800001</v>
      </c>
      <c r="K74" s="40"/>
      <c r="L74" s="140">
        <f t="shared" si="11"/>
        <v>3915</v>
      </c>
    </row>
    <row r="75" spans="1:16">
      <c r="A75" s="13">
        <v>229</v>
      </c>
      <c r="B75" s="13">
        <v>4</v>
      </c>
      <c r="C75" s="13" t="s">
        <v>58</v>
      </c>
      <c r="D75" s="104">
        <v>6531.1</v>
      </c>
      <c r="E75" s="104">
        <v>4637.08</v>
      </c>
      <c r="F75" s="104">
        <f t="shared" ref="F75:F84" si="12">L75*5.8/100+L75</f>
        <v>7359.0459599999995</v>
      </c>
      <c r="G75" s="128">
        <v>3592.1</v>
      </c>
      <c r="H75" s="104">
        <v>7437.7877517719999</v>
      </c>
      <c r="I75" s="136">
        <v>3592.1</v>
      </c>
      <c r="J75" s="80">
        <f>SALARIES!J61</f>
        <v>7884.0550168783202</v>
      </c>
      <c r="K75" s="40"/>
      <c r="L75" s="140">
        <f t="shared" si="11"/>
        <v>6955.62</v>
      </c>
    </row>
    <row r="76" spans="1:16">
      <c r="A76" s="13">
        <v>229</v>
      </c>
      <c r="B76" s="13">
        <v>6</v>
      </c>
      <c r="C76" s="13" t="s">
        <v>58</v>
      </c>
      <c r="D76" s="104">
        <v>28760.400000000001</v>
      </c>
      <c r="E76" s="104">
        <v>19091.400000000001</v>
      </c>
      <c r="F76" s="104">
        <f t="shared" si="12"/>
        <v>30298.051800000001</v>
      </c>
      <c r="G76" s="128">
        <v>12321</v>
      </c>
      <c r="H76" s="104">
        <v>30622.24095426</v>
      </c>
      <c r="I76" s="136">
        <v>12321</v>
      </c>
      <c r="J76" s="80">
        <f>SALARIES!J62</f>
        <v>32459.575411515601</v>
      </c>
      <c r="K76" s="40"/>
      <c r="L76" s="140">
        <f t="shared" si="11"/>
        <v>28637.100000000002</v>
      </c>
    </row>
    <row r="77" spans="1:16">
      <c r="A77" s="13">
        <v>229</v>
      </c>
      <c r="B77" s="13">
        <v>8</v>
      </c>
      <c r="C77" s="13" t="s">
        <v>21</v>
      </c>
      <c r="D77" s="104">
        <v>6691.76</v>
      </c>
      <c r="E77" s="104">
        <v>3345.88</v>
      </c>
      <c r="F77" s="104">
        <f t="shared" si="12"/>
        <v>5309.9115599999996</v>
      </c>
      <c r="G77" s="128">
        <v>0</v>
      </c>
      <c r="H77" s="104">
        <v>5366.727613692</v>
      </c>
      <c r="I77" s="136">
        <v>0</v>
      </c>
      <c r="J77" s="80">
        <f>SALARIES!J63</f>
        <v>5688.73127051352</v>
      </c>
      <c r="K77" s="40"/>
      <c r="L77" s="140">
        <f t="shared" si="11"/>
        <v>5018.82</v>
      </c>
    </row>
    <row r="78" spans="1:16">
      <c r="A78" s="13">
        <v>229</v>
      </c>
      <c r="B78" s="13">
        <v>10</v>
      </c>
      <c r="C78" s="13" t="s">
        <v>22</v>
      </c>
      <c r="D78" s="104">
        <v>93082.74</v>
      </c>
      <c r="E78" s="104">
        <v>62372.39</v>
      </c>
      <c r="F78" s="104">
        <f t="shared" si="12"/>
        <v>98984.982929999998</v>
      </c>
      <c r="G78" s="128">
        <v>42347.94</v>
      </c>
      <c r="H78" s="104">
        <v>100044.122247351</v>
      </c>
      <c r="I78" s="136">
        <v>42347.94</v>
      </c>
      <c r="J78" s="80">
        <f>SALARIES!J64</f>
        <v>106046.76958219206</v>
      </c>
      <c r="K78" s="40"/>
      <c r="L78" s="140">
        <f t="shared" si="11"/>
        <v>93558.584999999992</v>
      </c>
    </row>
    <row r="79" spans="1:16">
      <c r="A79" s="13">
        <v>229</v>
      </c>
      <c r="B79" s="13">
        <v>14</v>
      </c>
      <c r="C79" s="13" t="s">
        <v>112</v>
      </c>
      <c r="D79" s="104">
        <v>105161</v>
      </c>
      <c r="E79" s="104">
        <v>74119.5</v>
      </c>
      <c r="F79" s="104">
        <v>267627.65000000002</v>
      </c>
      <c r="G79" s="128">
        <v>53847.5</v>
      </c>
      <c r="H79" s="104">
        <v>270491.26231755002</v>
      </c>
      <c r="I79" s="136">
        <v>53847.5</v>
      </c>
      <c r="J79" s="80">
        <f>SALARIES!J65</f>
        <v>286720.738056603</v>
      </c>
      <c r="K79" s="40"/>
      <c r="L79" s="140">
        <f t="shared" si="11"/>
        <v>111179.25</v>
      </c>
    </row>
    <row r="80" spans="1:16">
      <c r="A80" s="13">
        <v>229</v>
      </c>
      <c r="B80" s="13">
        <v>16</v>
      </c>
      <c r="C80" s="13" t="s">
        <v>89</v>
      </c>
      <c r="D80" s="104">
        <v>3569.28</v>
      </c>
      <c r="E80" s="104">
        <v>2379.52</v>
      </c>
      <c r="F80" s="104">
        <f t="shared" si="12"/>
        <v>3776.2982399999996</v>
      </c>
      <c r="G80" s="128">
        <v>1487.2</v>
      </c>
      <c r="H80" s="104">
        <v>3816.7046311679997</v>
      </c>
      <c r="I80" s="136">
        <v>1487.2</v>
      </c>
      <c r="J80" s="80">
        <f>SALARIES!J66</f>
        <v>4045.7069090380796</v>
      </c>
      <c r="K80" s="40"/>
      <c r="L80" s="140">
        <f t="shared" si="11"/>
        <v>3569.2799999999997</v>
      </c>
    </row>
    <row r="81" spans="1:16">
      <c r="A81" s="13">
        <v>229</v>
      </c>
      <c r="B81" s="13">
        <v>17</v>
      </c>
      <c r="C81" s="13" t="s">
        <v>113</v>
      </c>
      <c r="D81" s="104">
        <v>7524</v>
      </c>
      <c r="E81" s="104">
        <v>5266.8</v>
      </c>
      <c r="F81" s="104">
        <v>21768.87</v>
      </c>
      <c r="G81" s="128">
        <v>3762</v>
      </c>
      <c r="H81" s="104">
        <v>22001.798526119997</v>
      </c>
      <c r="I81" s="136">
        <v>3762</v>
      </c>
      <c r="J81" s="80">
        <f>SALARIES!J67</f>
        <v>23321.906437687197</v>
      </c>
      <c r="K81" s="40"/>
      <c r="L81" s="140">
        <f t="shared" si="11"/>
        <v>7900.2000000000007</v>
      </c>
    </row>
    <row r="82" spans="1:16">
      <c r="A82" s="13">
        <v>229</v>
      </c>
      <c r="B82" s="13">
        <v>18</v>
      </c>
      <c r="C82" s="13" t="s">
        <v>114</v>
      </c>
      <c r="D82" s="104">
        <v>14581.11</v>
      </c>
      <c r="E82" s="104">
        <v>0</v>
      </c>
      <c r="F82" s="104">
        <f t="shared" si="12"/>
        <v>0</v>
      </c>
      <c r="G82" s="128"/>
      <c r="H82" s="104">
        <v>0</v>
      </c>
      <c r="I82" s="136">
        <v>0</v>
      </c>
      <c r="J82" s="80">
        <f>SALARIES!J68</f>
        <v>0</v>
      </c>
      <c r="K82" s="40"/>
      <c r="L82" s="140">
        <f t="shared" si="11"/>
        <v>0</v>
      </c>
    </row>
    <row r="83" spans="1:16">
      <c r="A83" s="13">
        <v>229</v>
      </c>
      <c r="B83" s="13">
        <v>102</v>
      </c>
      <c r="C83" s="13" t="s">
        <v>33</v>
      </c>
      <c r="D83" s="104">
        <v>5772.12</v>
      </c>
      <c r="E83" s="104">
        <v>3878.3</v>
      </c>
      <c r="F83" s="104">
        <f t="shared" si="12"/>
        <v>6154.8621000000012</v>
      </c>
      <c r="G83" s="128">
        <v>2617.85</v>
      </c>
      <c r="H83" s="104">
        <v>6220.7191244700016</v>
      </c>
      <c r="I83" s="136">
        <v>2617.85</v>
      </c>
      <c r="J83" s="80">
        <f>SALARIES!J69</f>
        <v>6593.9622719382014</v>
      </c>
      <c r="K83" s="40"/>
      <c r="L83" s="140">
        <f t="shared" si="11"/>
        <v>5817.4500000000007</v>
      </c>
    </row>
    <row r="84" spans="1:16">
      <c r="A84" s="13">
        <v>229</v>
      </c>
      <c r="B84" s="13">
        <v>104</v>
      </c>
      <c r="C84" s="13" t="s">
        <v>115</v>
      </c>
      <c r="D84" s="104">
        <v>162.72</v>
      </c>
      <c r="E84" s="104">
        <v>108.48</v>
      </c>
      <c r="F84" s="104">
        <f t="shared" si="12"/>
        <v>172.15776</v>
      </c>
      <c r="G84" s="128">
        <v>72.5</v>
      </c>
      <c r="H84" s="104">
        <v>173.99984803199999</v>
      </c>
      <c r="I84" s="136">
        <v>72.5</v>
      </c>
      <c r="J84" s="80">
        <f>SALARIES!J70</f>
        <v>184.43983891392</v>
      </c>
      <c r="K84" s="40"/>
      <c r="L84" s="140">
        <f t="shared" si="11"/>
        <v>162.72</v>
      </c>
    </row>
    <row r="85" spans="1:16">
      <c r="D85" s="105">
        <f t="shared" ref="D85:J85" si="13">SUM(D73:D84)</f>
        <v>750360.43</v>
      </c>
      <c r="E85" s="105">
        <f t="shared" si="13"/>
        <v>494899.03</v>
      </c>
      <c r="F85" s="105">
        <f t="shared" si="13"/>
        <v>949284.6925100002</v>
      </c>
      <c r="G85" s="129">
        <f t="shared" si="13"/>
        <v>335218.57</v>
      </c>
      <c r="H85" s="105">
        <f t="shared" si="13"/>
        <v>959442.03679952724</v>
      </c>
      <c r="I85" s="137">
        <f t="shared" si="13"/>
        <v>335218.57</v>
      </c>
      <c r="J85" s="74">
        <f t="shared" si="13"/>
        <v>1017008.5590074989</v>
      </c>
      <c r="K85" s="74"/>
    </row>
    <row r="86" spans="1:16">
      <c r="A86" s="1" t="s">
        <v>1030</v>
      </c>
      <c r="D86" s="105"/>
      <c r="E86" s="105"/>
      <c r="F86" s="105"/>
      <c r="G86" s="129"/>
      <c r="H86" s="105"/>
      <c r="I86" s="137"/>
      <c r="J86" s="47"/>
      <c r="K86" s="47"/>
    </row>
    <row r="87" spans="1:16" s="53" customFormat="1">
      <c r="A87" s="81">
        <v>229</v>
      </c>
      <c r="B87" s="81">
        <v>210</v>
      </c>
      <c r="C87" s="81" t="s">
        <v>44</v>
      </c>
      <c r="D87" s="109">
        <v>25784.58</v>
      </c>
      <c r="E87" s="109">
        <v>0</v>
      </c>
      <c r="F87" s="109">
        <f>'NON CASH'!G5</f>
        <v>26300.2716</v>
      </c>
      <c r="G87" s="141">
        <v>0</v>
      </c>
      <c r="H87" s="109">
        <f>'NON CASH'!H5</f>
        <v>27615.285179999999</v>
      </c>
      <c r="I87" s="169"/>
      <c r="J87" s="82">
        <f>'NON CASH'!I5</f>
        <v>28167.590883599998</v>
      </c>
      <c r="K87" s="288"/>
      <c r="L87" s="54"/>
      <c r="M87" s="54"/>
    </row>
    <row r="88" spans="1:16">
      <c r="D88" s="105"/>
      <c r="E88" s="105"/>
      <c r="F88" s="105">
        <f>F87</f>
        <v>26300.2716</v>
      </c>
      <c r="G88" s="129">
        <f>G87</f>
        <v>0</v>
      </c>
      <c r="H88" s="105">
        <f>H87</f>
        <v>27615.285179999999</v>
      </c>
      <c r="I88" s="137">
        <f>I87</f>
        <v>0</v>
      </c>
      <c r="J88" s="74">
        <f>J87</f>
        <v>28167.590883599998</v>
      </c>
      <c r="K88" s="74"/>
    </row>
    <row r="89" spans="1:16" s="1" customFormat="1">
      <c r="A89" s="1" t="s">
        <v>924</v>
      </c>
      <c r="D89" s="108"/>
      <c r="E89" s="108"/>
      <c r="F89" s="108"/>
      <c r="G89" s="132"/>
      <c r="H89" s="108"/>
      <c r="I89" s="139"/>
      <c r="J89" s="44"/>
      <c r="K89" s="44"/>
      <c r="L89" s="44"/>
      <c r="M89" s="44"/>
    </row>
    <row r="90" spans="1:16">
      <c r="A90" s="13">
        <v>229</v>
      </c>
      <c r="B90" s="13">
        <v>175</v>
      </c>
      <c r="C90" s="13" t="s">
        <v>127</v>
      </c>
      <c r="D90" s="104">
        <v>1000</v>
      </c>
      <c r="E90" s="104">
        <v>0</v>
      </c>
      <c r="F90" s="104">
        <v>0</v>
      </c>
      <c r="G90" s="128"/>
      <c r="H90" s="104">
        <v>0</v>
      </c>
      <c r="I90" s="136"/>
      <c r="J90" s="80">
        <v>0</v>
      </c>
      <c r="K90" s="40">
        <f t="shared" ref="K90:K95" si="14">I90/7*12</f>
        <v>0</v>
      </c>
    </row>
    <row r="91" spans="1:16">
      <c r="A91" s="13">
        <v>229</v>
      </c>
      <c r="B91" s="13">
        <v>182</v>
      </c>
      <c r="C91" s="13" t="s">
        <v>128</v>
      </c>
      <c r="D91" s="104">
        <v>250000</v>
      </c>
      <c r="E91" s="104">
        <v>0</v>
      </c>
      <c r="F91" s="104">
        <v>250000</v>
      </c>
      <c r="G91" s="128">
        <v>125770</v>
      </c>
      <c r="H91" s="104">
        <v>250000</v>
      </c>
      <c r="I91" s="136">
        <v>125770</v>
      </c>
      <c r="J91" s="80">
        <v>250000</v>
      </c>
      <c r="K91" s="40">
        <f t="shared" si="14"/>
        <v>215605.71428571432</v>
      </c>
    </row>
    <row r="92" spans="1:16">
      <c r="A92" s="13">
        <v>229</v>
      </c>
      <c r="B92" s="13">
        <v>183</v>
      </c>
      <c r="C92" s="13" t="s">
        <v>130</v>
      </c>
      <c r="D92" s="104">
        <v>60000</v>
      </c>
      <c r="E92" s="104">
        <v>5766.83</v>
      </c>
      <c r="F92" s="104">
        <v>40000</v>
      </c>
      <c r="G92" s="128">
        <v>7500</v>
      </c>
      <c r="H92" s="104">
        <v>0</v>
      </c>
      <c r="I92" s="136">
        <v>7500</v>
      </c>
      <c r="J92" s="80">
        <v>0</v>
      </c>
      <c r="K92" s="40">
        <f t="shared" si="14"/>
        <v>12857.142857142855</v>
      </c>
    </row>
    <row r="93" spans="1:16">
      <c r="A93" s="13">
        <v>229</v>
      </c>
      <c r="B93" s="13">
        <v>193</v>
      </c>
      <c r="C93" s="13" t="s">
        <v>36</v>
      </c>
      <c r="D93" s="104">
        <v>0</v>
      </c>
      <c r="E93" s="104">
        <v>3300</v>
      </c>
      <c r="F93" s="104">
        <v>0</v>
      </c>
      <c r="G93" s="128"/>
      <c r="H93" s="104">
        <v>0</v>
      </c>
      <c r="I93" s="136"/>
      <c r="J93" s="80">
        <v>0</v>
      </c>
      <c r="K93" s="40">
        <f t="shared" si="14"/>
        <v>0</v>
      </c>
    </row>
    <row r="94" spans="1:16">
      <c r="A94" s="13">
        <v>229</v>
      </c>
      <c r="B94" s="13">
        <v>195</v>
      </c>
      <c r="C94" s="13" t="s">
        <v>132</v>
      </c>
      <c r="D94" s="104">
        <v>45000</v>
      </c>
      <c r="E94" s="104">
        <v>33945.339999999997</v>
      </c>
      <c r="F94" s="104">
        <v>60000</v>
      </c>
      <c r="G94" s="128">
        <v>84116.61</v>
      </c>
      <c r="H94" s="104">
        <v>92500</v>
      </c>
      <c r="I94" s="136">
        <v>85276.21</v>
      </c>
      <c r="J94" s="80">
        <v>100000</v>
      </c>
      <c r="K94" s="40">
        <f t="shared" si="14"/>
        <v>146187.78857142857</v>
      </c>
    </row>
    <row r="95" spans="1:16" ht="15.75" thickBot="1">
      <c r="A95" s="13">
        <v>229</v>
      </c>
      <c r="B95" s="13">
        <v>198</v>
      </c>
      <c r="C95" s="13" t="s">
        <v>133</v>
      </c>
      <c r="D95" s="104">
        <f>518561.53-265000</f>
        <v>253561.53000000003</v>
      </c>
      <c r="E95" s="104">
        <v>178070.84</v>
      </c>
      <c r="F95" s="104">
        <f>400000-265000</f>
        <v>135000</v>
      </c>
      <c r="G95" s="128">
        <v>27461.52</v>
      </c>
      <c r="H95" s="104">
        <f>400000-265000</f>
        <v>135000</v>
      </c>
      <c r="I95" s="136">
        <v>27461.52</v>
      </c>
      <c r="J95" s="80">
        <v>300000</v>
      </c>
      <c r="K95" s="40">
        <f t="shared" si="14"/>
        <v>47076.891428571427</v>
      </c>
    </row>
    <row r="96" spans="1:16" ht="15.75" thickBot="1">
      <c r="A96" s="42"/>
      <c r="B96" s="42"/>
      <c r="C96" s="42"/>
      <c r="D96" s="107">
        <f t="shared" ref="D96:J96" si="15">SUM(D90:D95)</f>
        <v>609561.53</v>
      </c>
      <c r="E96" s="107">
        <f t="shared" si="15"/>
        <v>221083.01</v>
      </c>
      <c r="F96" s="107">
        <f t="shared" si="15"/>
        <v>485000</v>
      </c>
      <c r="G96" s="131">
        <f t="shared" si="15"/>
        <v>244848.12999999998</v>
      </c>
      <c r="H96" s="107">
        <f t="shared" si="15"/>
        <v>477500</v>
      </c>
      <c r="I96" s="138">
        <f t="shared" si="15"/>
        <v>246007.73</v>
      </c>
      <c r="J96" s="92">
        <f t="shared" si="15"/>
        <v>650000</v>
      </c>
      <c r="K96" s="92"/>
      <c r="M96" s="61" t="s">
        <v>916</v>
      </c>
      <c r="N96" s="221" t="s">
        <v>1105</v>
      </c>
      <c r="O96" s="59" t="s">
        <v>1103</v>
      </c>
      <c r="P96" s="59" t="s">
        <v>1102</v>
      </c>
    </row>
    <row r="97" spans="1:16">
      <c r="A97" s="42"/>
      <c r="B97" s="42"/>
      <c r="C97" s="42"/>
      <c r="D97" s="106"/>
      <c r="E97" s="106"/>
      <c r="F97" s="106"/>
      <c r="G97" s="130"/>
      <c r="H97" s="106"/>
      <c r="I97" s="171"/>
      <c r="J97" s="40"/>
      <c r="K97" s="40"/>
      <c r="L97" s="44" t="s">
        <v>945</v>
      </c>
      <c r="M97" s="44">
        <f>D85+D96</f>
        <v>1359921.96</v>
      </c>
      <c r="N97" s="27">
        <f>F85+F88+F96</f>
        <v>1460584.9641100001</v>
      </c>
      <c r="O97" s="27">
        <f>H85+H88+H96</f>
        <v>1464557.3219795274</v>
      </c>
      <c r="P97" s="27">
        <f>J85+J88+J96</f>
        <v>1695176.149891099</v>
      </c>
    </row>
    <row r="98" spans="1:16" s="1" customFormat="1">
      <c r="A98" s="1" t="s">
        <v>923</v>
      </c>
      <c r="D98" s="108"/>
      <c r="E98" s="108"/>
      <c r="F98" s="108"/>
      <c r="G98" s="132"/>
      <c r="H98" s="108"/>
      <c r="I98" s="139"/>
      <c r="J98" s="44"/>
      <c r="K98" s="44"/>
      <c r="L98" s="44" t="s">
        <v>946</v>
      </c>
      <c r="M98" s="44">
        <f>D100</f>
        <v>-1905000</v>
      </c>
      <c r="N98" s="27">
        <f>F100</f>
        <v>-2758237.2800000003</v>
      </c>
      <c r="O98" s="44">
        <f>H100</f>
        <v>-2758237.2800000003</v>
      </c>
      <c r="P98" s="44">
        <f>J100</f>
        <v>-2758237.2800000003</v>
      </c>
    </row>
    <row r="99" spans="1:16" ht="15.75" thickBot="1">
      <c r="A99" s="13">
        <v>229</v>
      </c>
      <c r="B99" s="13">
        <v>8875</v>
      </c>
      <c r="C99" s="13" t="s">
        <v>121</v>
      </c>
      <c r="D99" s="104">
        <v>-1905000</v>
      </c>
      <c r="E99" s="104">
        <v>0</v>
      </c>
      <c r="F99" s="104">
        <f>GRANTS!G7</f>
        <v>-2758237.2800000003</v>
      </c>
      <c r="G99" s="128">
        <v>0</v>
      </c>
      <c r="H99" s="104">
        <f>GRANTS!H7</f>
        <v>-2758237.2800000003</v>
      </c>
      <c r="I99" s="136"/>
      <c r="J99" s="84">
        <f>GRANTS!I7</f>
        <v>-2758237.2800000003</v>
      </c>
      <c r="K99" s="40"/>
      <c r="M99" s="50">
        <f>M97+M98</f>
        <v>-545078.04</v>
      </c>
      <c r="N99" s="50">
        <f>N97+N98</f>
        <v>-1297652.3158900002</v>
      </c>
      <c r="O99" s="50">
        <f>O97+O98</f>
        <v>-1293679.9580204729</v>
      </c>
      <c r="P99" s="50">
        <f>P97+P98</f>
        <v>-1063061.1301089013</v>
      </c>
    </row>
    <row r="100" spans="1:16" ht="15.75" thickTop="1">
      <c r="D100" s="105">
        <f t="shared" ref="D100:J100" si="16">D99</f>
        <v>-1905000</v>
      </c>
      <c r="E100" s="105">
        <f t="shared" si="16"/>
        <v>0</v>
      </c>
      <c r="F100" s="105">
        <f t="shared" si="16"/>
        <v>-2758237.2800000003</v>
      </c>
      <c r="G100" s="129">
        <f t="shared" si="16"/>
        <v>0</v>
      </c>
      <c r="H100" s="105">
        <f t="shared" si="16"/>
        <v>-2758237.2800000003</v>
      </c>
      <c r="I100" s="137">
        <f t="shared" si="16"/>
        <v>0</v>
      </c>
      <c r="J100" s="74">
        <f t="shared" si="16"/>
        <v>-2758237.2800000003</v>
      </c>
      <c r="K100" s="74"/>
    </row>
    <row r="101" spans="1:16">
      <c r="H101" s="102"/>
      <c r="I101" s="133"/>
    </row>
    <row r="102" spans="1:16" s="1" customFormat="1">
      <c r="A102" s="1" t="s">
        <v>921</v>
      </c>
      <c r="D102" s="108"/>
      <c r="E102" s="108"/>
      <c r="F102" s="108"/>
      <c r="G102" s="132"/>
      <c r="H102" s="108"/>
      <c r="I102" s="139"/>
      <c r="J102" s="44"/>
      <c r="K102" s="44"/>
      <c r="L102" s="44"/>
      <c r="M102" s="44"/>
    </row>
    <row r="103" spans="1:16">
      <c r="A103" s="13">
        <v>230</v>
      </c>
      <c r="B103" s="13">
        <v>1</v>
      </c>
      <c r="C103" s="13" t="s">
        <v>109</v>
      </c>
      <c r="D103" s="104">
        <v>153085.4</v>
      </c>
      <c r="E103" s="104">
        <v>107159.78</v>
      </c>
      <c r="F103" s="104">
        <f>L103*5.8/100+L103</f>
        <v>170062.57085999998</v>
      </c>
      <c r="G103" s="128">
        <v>86893.51</v>
      </c>
      <c r="H103" s="104">
        <v>171882.24036820198</v>
      </c>
      <c r="I103" s="136">
        <v>86893.51</v>
      </c>
      <c r="J103" s="80">
        <f>SALARIES!J73</f>
        <v>182195.17479029408</v>
      </c>
      <c r="K103" s="40"/>
      <c r="L103" s="140">
        <f t="shared" ref="L103:L110" si="17">+E103/8*12</f>
        <v>160739.66999999998</v>
      </c>
    </row>
    <row r="104" spans="1:16">
      <c r="A104" s="13">
        <v>230</v>
      </c>
      <c r="B104" s="13">
        <v>8</v>
      </c>
      <c r="C104" s="13" t="s">
        <v>21</v>
      </c>
      <c r="D104" s="104">
        <v>4408.42</v>
      </c>
      <c r="E104" s="104">
        <v>2204.21</v>
      </c>
      <c r="F104" s="104">
        <f t="shared" ref="F104:F110" si="18">L104*5.8/100+L104</f>
        <v>3498.0812700000001</v>
      </c>
      <c r="G104" s="128">
        <v>0</v>
      </c>
      <c r="H104" s="104">
        <v>3535.510739589</v>
      </c>
      <c r="I104" s="136">
        <v>0</v>
      </c>
      <c r="J104" s="80">
        <f>SALARIES!J74</f>
        <v>3747.6413839643401</v>
      </c>
      <c r="K104" s="40"/>
      <c r="L104" s="140">
        <f t="shared" si="17"/>
        <v>3306.3150000000001</v>
      </c>
    </row>
    <row r="105" spans="1:16">
      <c r="A105" s="13">
        <v>230</v>
      </c>
      <c r="B105" s="13">
        <v>10</v>
      </c>
      <c r="C105" s="13" t="s">
        <v>111</v>
      </c>
      <c r="D105" s="104">
        <v>27555.4</v>
      </c>
      <c r="E105" s="104">
        <v>19288.78</v>
      </c>
      <c r="F105" s="104">
        <f t="shared" si="18"/>
        <v>30611.293859999998</v>
      </c>
      <c r="G105" s="128">
        <v>15640.84</v>
      </c>
      <c r="H105" s="104">
        <v>30938.834704301997</v>
      </c>
      <c r="I105" s="136">
        <v>15640.84</v>
      </c>
      <c r="J105" s="80">
        <f>SALARIES!J75</f>
        <v>32795.164786560119</v>
      </c>
      <c r="K105" s="40"/>
      <c r="L105" s="140">
        <f t="shared" si="17"/>
        <v>28933.17</v>
      </c>
    </row>
    <row r="106" spans="1:16">
      <c r="A106" s="13">
        <v>230</v>
      </c>
      <c r="B106" s="13">
        <v>16</v>
      </c>
      <c r="C106" s="13" t="s">
        <v>89</v>
      </c>
      <c r="D106" s="104">
        <v>1487.2</v>
      </c>
      <c r="E106" s="104">
        <v>1041.04</v>
      </c>
      <c r="F106" s="104">
        <f t="shared" si="18"/>
        <v>1652.13048</v>
      </c>
      <c r="G106" s="128">
        <v>743.6</v>
      </c>
      <c r="H106" s="104">
        <v>1669.8082761360001</v>
      </c>
      <c r="I106" s="136">
        <v>743.6</v>
      </c>
      <c r="J106" s="80">
        <f>SALARIES!J76</f>
        <v>1769.9967727041601</v>
      </c>
      <c r="K106" s="40"/>
      <c r="L106" s="140">
        <f t="shared" si="17"/>
        <v>1561.56</v>
      </c>
    </row>
    <row r="107" spans="1:16">
      <c r="A107" s="13">
        <v>230</v>
      </c>
      <c r="B107" s="13">
        <v>17</v>
      </c>
      <c r="C107" s="13" t="s">
        <v>136</v>
      </c>
      <c r="D107" s="104">
        <v>3762</v>
      </c>
      <c r="E107" s="104">
        <v>2633.4</v>
      </c>
      <c r="F107" s="104">
        <v>14179.21</v>
      </c>
      <c r="G107" s="128">
        <v>1881</v>
      </c>
      <c r="H107" s="104">
        <v>14330.92330206</v>
      </c>
      <c r="I107" s="136">
        <v>1881</v>
      </c>
      <c r="J107" s="80">
        <f>SALARIES!J77</f>
        <v>15190.7787001836</v>
      </c>
      <c r="K107" s="40"/>
      <c r="L107" s="140">
        <f t="shared" si="17"/>
        <v>3950.1000000000004</v>
      </c>
    </row>
    <row r="108" spans="1:16">
      <c r="A108" s="13">
        <v>230</v>
      </c>
      <c r="B108" s="13">
        <v>18</v>
      </c>
      <c r="C108" s="13" t="s">
        <v>114</v>
      </c>
      <c r="D108" s="104">
        <v>14581.11</v>
      </c>
      <c r="E108" s="104">
        <v>0</v>
      </c>
      <c r="F108" s="104">
        <f t="shared" si="18"/>
        <v>0</v>
      </c>
      <c r="G108" s="128"/>
      <c r="H108" s="104">
        <v>0</v>
      </c>
      <c r="I108" s="136">
        <v>0</v>
      </c>
      <c r="J108" s="80">
        <f>SALARIES!J78</f>
        <v>0</v>
      </c>
      <c r="K108" s="40"/>
      <c r="L108" s="140">
        <f t="shared" si="17"/>
        <v>0</v>
      </c>
    </row>
    <row r="109" spans="1:16">
      <c r="A109" s="13">
        <v>230</v>
      </c>
      <c r="B109" s="13">
        <v>102</v>
      </c>
      <c r="C109" s="13" t="s">
        <v>33</v>
      </c>
      <c r="D109" s="104">
        <v>1497.76</v>
      </c>
      <c r="E109" s="104">
        <v>1039.6099999999999</v>
      </c>
      <c r="F109" s="104">
        <f t="shared" si="18"/>
        <v>1649.8610699999999</v>
      </c>
      <c r="G109" s="128">
        <v>822.58</v>
      </c>
      <c r="H109" s="104">
        <v>1667.5145834489999</v>
      </c>
      <c r="I109" s="136">
        <v>822.58</v>
      </c>
      <c r="J109" s="80">
        <f>SALARIES!J79</f>
        <v>1767.56545845594</v>
      </c>
      <c r="K109" s="40"/>
      <c r="L109" s="140">
        <f t="shared" si="17"/>
        <v>1559.415</v>
      </c>
    </row>
    <row r="110" spans="1:16">
      <c r="A110" s="13">
        <v>230</v>
      </c>
      <c r="B110" s="13">
        <v>104</v>
      </c>
      <c r="C110" s="13" t="s">
        <v>115</v>
      </c>
      <c r="D110" s="104">
        <v>67.8</v>
      </c>
      <c r="E110" s="104">
        <v>47.46</v>
      </c>
      <c r="F110" s="104">
        <f t="shared" si="18"/>
        <v>75.319019999999995</v>
      </c>
      <c r="G110" s="128">
        <v>36.25</v>
      </c>
      <c r="H110" s="104">
        <v>76.124933513999991</v>
      </c>
      <c r="I110" s="136">
        <v>36.25</v>
      </c>
      <c r="J110" s="80">
        <f>SALARIES!J80</f>
        <v>80.692429524839994</v>
      </c>
      <c r="K110" s="40"/>
      <c r="L110" s="140">
        <f t="shared" si="17"/>
        <v>71.19</v>
      </c>
    </row>
    <row r="111" spans="1:16">
      <c r="D111" s="105">
        <f t="shared" ref="D111:J111" si="19">SUM(D103:D110)</f>
        <v>206445.09000000003</v>
      </c>
      <c r="E111" s="105">
        <f t="shared" si="19"/>
        <v>133414.27999999997</v>
      </c>
      <c r="F111" s="105">
        <f t="shared" si="19"/>
        <v>221728.46655999997</v>
      </c>
      <c r="G111" s="129">
        <f t="shared" si="19"/>
        <v>106017.78</v>
      </c>
      <c r="H111" s="105">
        <f t="shared" si="19"/>
        <v>224100.95690725194</v>
      </c>
      <c r="I111" s="137">
        <f t="shared" si="19"/>
        <v>106017.78</v>
      </c>
      <c r="J111" s="74">
        <f t="shared" si="19"/>
        <v>237547.01432168708</v>
      </c>
      <c r="K111" s="74"/>
    </row>
    <row r="112" spans="1:16">
      <c r="D112" s="105"/>
      <c r="E112" s="105"/>
      <c r="F112" s="105"/>
      <c r="G112" s="129"/>
      <c r="H112" s="105"/>
      <c r="I112" s="137"/>
      <c r="J112" s="47"/>
      <c r="K112" s="47"/>
    </row>
    <row r="113" spans="1:13">
      <c r="A113" s="1" t="s">
        <v>44</v>
      </c>
      <c r="D113" s="105"/>
      <c r="E113" s="105"/>
      <c r="F113" s="105"/>
      <c r="G113" s="129"/>
      <c r="H113" s="105"/>
      <c r="I113" s="137"/>
      <c r="J113" s="47"/>
      <c r="K113" s="47"/>
    </row>
    <row r="114" spans="1:13">
      <c r="A114" s="13">
        <v>230</v>
      </c>
      <c r="B114" s="13">
        <v>210</v>
      </c>
      <c r="C114" s="13" t="s">
        <v>44</v>
      </c>
      <c r="D114" s="104">
        <v>79260</v>
      </c>
      <c r="E114" s="104">
        <v>0</v>
      </c>
      <c r="F114" s="104">
        <f>'NON CASH'!G6</f>
        <v>80845.2</v>
      </c>
      <c r="G114" s="128">
        <v>0</v>
      </c>
      <c r="H114" s="104">
        <f>'NON CASH'!H6</f>
        <v>84887.46</v>
      </c>
      <c r="I114" s="136"/>
      <c r="J114" s="83">
        <f>'NON CASH'!I6</f>
        <v>86585.209200000012</v>
      </c>
      <c r="K114" s="286"/>
      <c r="L114" s="140">
        <f>+E114/8*12</f>
        <v>0</v>
      </c>
    </row>
    <row r="115" spans="1:13">
      <c r="D115" s="105"/>
      <c r="E115" s="105"/>
      <c r="F115" s="105">
        <f>F114</f>
        <v>80845.2</v>
      </c>
      <c r="G115" s="129">
        <f>G114</f>
        <v>0</v>
      </c>
      <c r="H115" s="105">
        <f>H114</f>
        <v>84887.46</v>
      </c>
      <c r="I115" s="137">
        <f>I114</f>
        <v>0</v>
      </c>
      <c r="J115" s="74">
        <f>J114</f>
        <v>86585.209200000012</v>
      </c>
      <c r="K115" s="74"/>
    </row>
    <row r="116" spans="1:13">
      <c r="A116" s="1" t="s">
        <v>927</v>
      </c>
      <c r="D116" s="105"/>
      <c r="E116" s="105"/>
      <c r="F116" s="105"/>
      <c r="G116" s="129"/>
      <c r="H116" s="105"/>
      <c r="I116" s="137"/>
      <c r="J116" s="47"/>
      <c r="K116" s="47"/>
    </row>
    <row r="117" spans="1:13">
      <c r="A117" s="13">
        <v>230</v>
      </c>
      <c r="B117" s="13">
        <v>272</v>
      </c>
      <c r="C117" s="13" t="s">
        <v>143</v>
      </c>
      <c r="D117" s="104">
        <v>50000</v>
      </c>
      <c r="E117" s="104">
        <v>1815.86</v>
      </c>
      <c r="F117" s="104">
        <v>40000</v>
      </c>
      <c r="G117" s="128">
        <v>2602.2800000000002</v>
      </c>
      <c r="H117" s="104">
        <f>RME!H4</f>
        <v>40000</v>
      </c>
      <c r="I117" s="136">
        <v>4189.12</v>
      </c>
      <c r="J117" s="80">
        <v>30000</v>
      </c>
      <c r="K117" s="40">
        <f>I117/7*12</f>
        <v>7181.3485714285716</v>
      </c>
    </row>
    <row r="118" spans="1:13">
      <c r="D118" s="105">
        <f t="shared" ref="D118:I118" si="20">D117</f>
        <v>50000</v>
      </c>
      <c r="E118" s="105">
        <f t="shared" si="20"/>
        <v>1815.86</v>
      </c>
      <c r="F118" s="105">
        <f t="shared" si="20"/>
        <v>40000</v>
      </c>
      <c r="G118" s="129">
        <f t="shared" si="20"/>
        <v>2602.2800000000002</v>
      </c>
      <c r="H118" s="105">
        <f t="shared" si="20"/>
        <v>40000</v>
      </c>
      <c r="I118" s="137">
        <f t="shared" si="20"/>
        <v>4189.12</v>
      </c>
      <c r="J118" s="74">
        <f>J117</f>
        <v>30000</v>
      </c>
      <c r="K118" s="74"/>
    </row>
    <row r="119" spans="1:13" s="1" customFormat="1">
      <c r="A119" s="1" t="s">
        <v>924</v>
      </c>
      <c r="D119" s="108"/>
      <c r="E119" s="108"/>
      <c r="F119" s="108"/>
      <c r="G119" s="132"/>
      <c r="H119" s="108"/>
      <c r="I119" s="139"/>
      <c r="J119" s="44"/>
      <c r="K119" s="44"/>
      <c r="L119" s="44"/>
      <c r="M119" s="44"/>
    </row>
    <row r="120" spans="1:13">
      <c r="A120" s="13">
        <v>230</v>
      </c>
      <c r="B120" s="13">
        <v>127</v>
      </c>
      <c r="C120" s="13" t="s">
        <v>137</v>
      </c>
      <c r="D120" s="104">
        <v>20000</v>
      </c>
      <c r="E120" s="104">
        <v>12874.6</v>
      </c>
      <c r="F120" s="104">
        <v>20000</v>
      </c>
      <c r="G120" s="128">
        <v>11750</v>
      </c>
      <c r="H120" s="104">
        <v>20000</v>
      </c>
      <c r="I120" s="136">
        <v>11750</v>
      </c>
      <c r="J120" s="80">
        <v>30000</v>
      </c>
      <c r="K120" s="40">
        <f t="shared" ref="K120:K125" si="21">I120/7*12</f>
        <v>20142.857142857145</v>
      </c>
      <c r="L120" s="140">
        <f t="shared" ref="L120:L125" si="22">+E120/8*12</f>
        <v>19311.900000000001</v>
      </c>
    </row>
    <row r="121" spans="1:13">
      <c r="A121" s="13">
        <v>230</v>
      </c>
      <c r="B121" s="13">
        <v>195</v>
      </c>
      <c r="C121" s="13" t="s">
        <v>138</v>
      </c>
      <c r="D121" s="104">
        <v>9500</v>
      </c>
      <c r="E121" s="104">
        <v>3806.05</v>
      </c>
      <c r="F121" s="104">
        <v>5000</v>
      </c>
      <c r="G121" s="128">
        <v>31778.07</v>
      </c>
      <c r="H121" s="104">
        <v>45000</v>
      </c>
      <c r="I121" s="136">
        <v>31778.07</v>
      </c>
      <c r="J121" s="80">
        <v>0</v>
      </c>
      <c r="K121" s="40">
        <f t="shared" si="21"/>
        <v>54476.69142857143</v>
      </c>
      <c r="L121" s="140">
        <f t="shared" si="22"/>
        <v>5709.0750000000007</v>
      </c>
    </row>
    <row r="122" spans="1:13">
      <c r="A122" s="13">
        <v>230</v>
      </c>
      <c r="B122" s="13">
        <v>204</v>
      </c>
      <c r="C122" s="13" t="s">
        <v>42</v>
      </c>
      <c r="D122" s="104">
        <v>1000</v>
      </c>
      <c r="E122" s="104">
        <v>0</v>
      </c>
      <c r="F122" s="104">
        <v>0</v>
      </c>
      <c r="G122" s="128">
        <v>12.28</v>
      </c>
      <c r="H122" s="104">
        <v>2000</v>
      </c>
      <c r="I122" s="136">
        <v>12.28</v>
      </c>
      <c r="J122" s="80">
        <v>0</v>
      </c>
      <c r="K122" s="40">
        <f t="shared" si="21"/>
        <v>21.05142857142857</v>
      </c>
      <c r="L122" s="140">
        <f t="shared" si="22"/>
        <v>0</v>
      </c>
    </row>
    <row r="123" spans="1:13">
      <c r="A123" s="13">
        <v>230</v>
      </c>
      <c r="B123" s="13">
        <v>205</v>
      </c>
      <c r="C123" s="13" t="s">
        <v>140</v>
      </c>
      <c r="D123" s="104">
        <v>50000</v>
      </c>
      <c r="E123" s="104">
        <v>0</v>
      </c>
      <c r="F123" s="104">
        <v>0</v>
      </c>
      <c r="G123" s="128"/>
      <c r="H123" s="104">
        <v>20000</v>
      </c>
      <c r="I123" s="136">
        <v>0</v>
      </c>
      <c r="J123" s="80">
        <v>0</v>
      </c>
      <c r="K123" s="40">
        <f t="shared" si="21"/>
        <v>0</v>
      </c>
      <c r="L123" s="140">
        <f t="shared" si="22"/>
        <v>0</v>
      </c>
    </row>
    <row r="124" spans="1:13">
      <c r="A124" s="13">
        <v>230</v>
      </c>
      <c r="B124" s="13">
        <v>206</v>
      </c>
      <c r="C124" s="13" t="s">
        <v>141</v>
      </c>
      <c r="D124" s="104">
        <v>88455.27</v>
      </c>
      <c r="E124" s="104">
        <v>107894.22</v>
      </c>
      <c r="F124" s="104">
        <v>0</v>
      </c>
      <c r="G124" s="128"/>
      <c r="H124" s="104">
        <v>0</v>
      </c>
      <c r="I124" s="136">
        <v>0</v>
      </c>
      <c r="J124" s="80">
        <v>0</v>
      </c>
      <c r="K124" s="40">
        <f t="shared" si="21"/>
        <v>0</v>
      </c>
      <c r="L124" s="140">
        <f t="shared" si="22"/>
        <v>161841.33000000002</v>
      </c>
    </row>
    <row r="125" spans="1:13">
      <c r="A125" s="13">
        <v>230</v>
      </c>
      <c r="B125" s="13">
        <v>207</v>
      </c>
      <c r="C125" s="13" t="s">
        <v>142</v>
      </c>
      <c r="D125" s="104">
        <v>16000</v>
      </c>
      <c r="E125" s="104">
        <v>11080</v>
      </c>
      <c r="F125" s="104">
        <v>10000</v>
      </c>
      <c r="G125" s="128">
        <v>53049.74</v>
      </c>
      <c r="H125" s="104">
        <v>68000</v>
      </c>
      <c r="I125" s="136">
        <v>53049.74</v>
      </c>
      <c r="J125" s="80">
        <f>100000-18269.84</f>
        <v>81730.16</v>
      </c>
      <c r="K125" s="40">
        <f t="shared" si="21"/>
        <v>90942.411428571417</v>
      </c>
      <c r="L125" s="140">
        <f t="shared" si="22"/>
        <v>16620</v>
      </c>
    </row>
    <row r="126" spans="1:13">
      <c r="D126" s="105">
        <f t="shared" ref="D126:I126" si="23">SUM(D120:D125)</f>
        <v>184955.27000000002</v>
      </c>
      <c r="E126" s="105">
        <f t="shared" si="23"/>
        <v>135654.87</v>
      </c>
      <c r="F126" s="105">
        <f t="shared" si="23"/>
        <v>35000</v>
      </c>
      <c r="G126" s="129">
        <f t="shared" si="23"/>
        <v>96590.09</v>
      </c>
      <c r="H126" s="105">
        <f t="shared" si="23"/>
        <v>155000</v>
      </c>
      <c r="I126" s="137">
        <f t="shared" si="23"/>
        <v>96590.09</v>
      </c>
      <c r="J126" s="74">
        <f>SUM(J120:J125)</f>
        <v>111730.16</v>
      </c>
      <c r="K126" s="74"/>
    </row>
    <row r="127" spans="1:13">
      <c r="H127" s="102"/>
      <c r="I127" s="133"/>
    </row>
    <row r="128" spans="1:13" s="1" customFormat="1">
      <c r="A128" s="1" t="s">
        <v>928</v>
      </c>
      <c r="D128" s="108"/>
      <c r="E128" s="108"/>
      <c r="F128" s="108"/>
      <c r="G128" s="132"/>
      <c r="H128" s="108"/>
      <c r="I128" s="139"/>
      <c r="J128" s="44"/>
      <c r="K128" s="44"/>
      <c r="L128" s="44"/>
      <c r="M128" s="44"/>
    </row>
    <row r="129" spans="1:16">
      <c r="A129" s="13">
        <v>230</v>
      </c>
      <c r="B129" s="13">
        <v>460</v>
      </c>
      <c r="C129" s="13" t="s">
        <v>145</v>
      </c>
      <c r="D129" s="104">
        <v>6021537.9199999999</v>
      </c>
      <c r="E129" s="104">
        <v>2033636.46</v>
      </c>
      <c r="F129" s="104">
        <v>1843841.67</v>
      </c>
      <c r="G129" s="128">
        <v>2914426.63</v>
      </c>
      <c r="H129" s="104">
        <f>CAPITAL!F74</f>
        <v>1803353.21</v>
      </c>
      <c r="I129" s="136">
        <v>3099631.41</v>
      </c>
      <c r="J129" s="80"/>
      <c r="K129" s="40"/>
    </row>
    <row r="130" spans="1:16">
      <c r="A130" s="13"/>
      <c r="B130" s="13"/>
      <c r="C130" s="17" t="s">
        <v>934</v>
      </c>
      <c r="D130" s="104"/>
      <c r="E130" s="104"/>
      <c r="F130" s="110">
        <v>5058785.17</v>
      </c>
      <c r="G130" s="142"/>
      <c r="H130" s="110">
        <f>CAPITAL!F76</f>
        <v>2316749.9</v>
      </c>
      <c r="I130" s="166"/>
      <c r="J130" s="31">
        <f>CAPITAL!G76</f>
        <v>4098843.75</v>
      </c>
      <c r="K130" s="41"/>
    </row>
    <row r="131" spans="1:16" s="1" customFormat="1">
      <c r="D131" s="105">
        <f t="shared" ref="D131:J131" si="24">SUM(D129:D130)</f>
        <v>6021537.9199999999</v>
      </c>
      <c r="E131" s="105">
        <f t="shared" si="24"/>
        <v>2033636.46</v>
      </c>
      <c r="F131" s="105">
        <f t="shared" si="24"/>
        <v>6902626.8399999999</v>
      </c>
      <c r="G131" s="129">
        <f t="shared" si="24"/>
        <v>2914426.63</v>
      </c>
      <c r="H131" s="105">
        <f t="shared" si="24"/>
        <v>4120103.11</v>
      </c>
      <c r="I131" s="137">
        <f t="shared" si="24"/>
        <v>3099631.41</v>
      </c>
      <c r="J131" s="74">
        <f t="shared" si="24"/>
        <v>4098843.75</v>
      </c>
      <c r="K131" s="74"/>
      <c r="L131" s="44"/>
      <c r="M131" s="44"/>
    </row>
    <row r="132" spans="1:16" s="1" customFormat="1" ht="15.75" thickBot="1">
      <c r="D132" s="108"/>
      <c r="E132" s="108"/>
      <c r="F132" s="108"/>
      <c r="G132" s="132"/>
      <c r="H132" s="108"/>
      <c r="I132" s="139"/>
      <c r="J132" s="44"/>
      <c r="K132" s="44"/>
      <c r="L132" s="44"/>
      <c r="M132" s="44"/>
    </row>
    <row r="133" spans="1:16" s="1" customFormat="1" ht="15.75" thickBot="1">
      <c r="A133" s="1" t="s">
        <v>923</v>
      </c>
      <c r="D133" s="108"/>
      <c r="E133" s="108"/>
      <c r="F133" s="108"/>
      <c r="G133" s="132"/>
      <c r="H133" s="108"/>
      <c r="I133" s="139"/>
      <c r="J133" s="44"/>
      <c r="K133" s="44"/>
      <c r="L133" s="44"/>
      <c r="M133" s="61" t="s">
        <v>916</v>
      </c>
      <c r="N133" s="221" t="s">
        <v>1105</v>
      </c>
      <c r="O133" s="59" t="s">
        <v>1103</v>
      </c>
      <c r="P133" s="59" t="s">
        <v>1102</v>
      </c>
    </row>
    <row r="134" spans="1:16">
      <c r="A134" s="13">
        <v>230</v>
      </c>
      <c r="B134" s="13">
        <v>8875</v>
      </c>
      <c r="C134" s="13" t="s">
        <v>121</v>
      </c>
      <c r="D134" s="104">
        <v>-505000</v>
      </c>
      <c r="E134" s="104">
        <v>0</v>
      </c>
      <c r="F134" s="104">
        <f>GRANTS!G8</f>
        <v>-4358237.28</v>
      </c>
      <c r="G134" s="128">
        <v>0</v>
      </c>
      <c r="H134" s="104">
        <f>GRANTS!H8</f>
        <v>-4358237.28</v>
      </c>
      <c r="I134" s="136"/>
      <c r="J134" s="84">
        <f>GRANTS!I8</f>
        <v>-4358237.28</v>
      </c>
      <c r="K134" s="40"/>
      <c r="L134" s="44" t="s">
        <v>947</v>
      </c>
      <c r="M134" s="44">
        <f>D111+D126+D118+D131</f>
        <v>6462938.2800000003</v>
      </c>
      <c r="N134" s="27">
        <f>F111+F115+F118+F126</f>
        <v>377573.66655999998</v>
      </c>
      <c r="O134" s="27">
        <f>H111+H115+H118+H126</f>
        <v>503988.41690725193</v>
      </c>
      <c r="P134" s="27">
        <f>J111+J115+J118+J126</f>
        <v>465862.38352168712</v>
      </c>
    </row>
    <row r="135" spans="1:16">
      <c r="A135" s="13">
        <v>230</v>
      </c>
      <c r="B135" s="13">
        <v>8877</v>
      </c>
      <c r="C135" s="13" t="s">
        <v>147</v>
      </c>
      <c r="D135" s="104">
        <v>-6021537.9199999999</v>
      </c>
      <c r="E135" s="104">
        <v>0</v>
      </c>
      <c r="F135" s="104">
        <f>GRANTS!G9</f>
        <v>-6909590.7799999993</v>
      </c>
      <c r="G135" s="128">
        <v>0</v>
      </c>
      <c r="H135" s="104">
        <f>GRANTS!H9</f>
        <v>-6909590.7799999993</v>
      </c>
      <c r="I135" s="136"/>
      <c r="J135" s="80">
        <f>GRANTS!I9</f>
        <v>-4098843.75</v>
      </c>
      <c r="K135" s="40"/>
      <c r="L135" s="44" t="s">
        <v>948</v>
      </c>
      <c r="M135" s="44">
        <f>D136</f>
        <v>-6526537.9199999999</v>
      </c>
      <c r="N135" s="27">
        <f>F134</f>
        <v>-4358237.28</v>
      </c>
      <c r="O135" s="27">
        <f>H134</f>
        <v>-4358237.28</v>
      </c>
      <c r="P135" s="27">
        <f>J134</f>
        <v>-4358237.28</v>
      </c>
    </row>
    <row r="136" spans="1:16" ht="15.75" thickBot="1">
      <c r="D136" s="105">
        <f t="shared" ref="D136:J136" si="25">SUM(D134:D135)</f>
        <v>-6526537.9199999999</v>
      </c>
      <c r="E136" s="105">
        <f t="shared" si="25"/>
        <v>0</v>
      </c>
      <c r="F136" s="105">
        <f t="shared" si="25"/>
        <v>-11267828.059999999</v>
      </c>
      <c r="G136" s="129">
        <f t="shared" si="25"/>
        <v>0</v>
      </c>
      <c r="H136" s="105">
        <f t="shared" si="25"/>
        <v>-11267828.059999999</v>
      </c>
      <c r="I136" s="137">
        <f t="shared" si="25"/>
        <v>0</v>
      </c>
      <c r="J136" s="74">
        <f t="shared" si="25"/>
        <v>-8457081.0300000012</v>
      </c>
      <c r="K136" s="74"/>
      <c r="M136" s="50">
        <f>M134+M135</f>
        <v>-63599.639999999665</v>
      </c>
      <c r="N136" s="50">
        <f>N134+N135</f>
        <v>-3980663.6134400005</v>
      </c>
      <c r="O136" s="50">
        <f>O134+O135</f>
        <v>-3854248.8630927484</v>
      </c>
      <c r="P136" s="50">
        <f>P134+P135</f>
        <v>-3892374.896478313</v>
      </c>
    </row>
    <row r="137" spans="1:16" ht="15.75" thickTop="1">
      <c r="H137" s="102"/>
      <c r="I137" s="133"/>
    </row>
    <row r="138" spans="1:16">
      <c r="H138" s="102"/>
      <c r="I138" s="133"/>
    </row>
    <row r="139" spans="1:16" s="1" customFormat="1">
      <c r="A139" s="1" t="s">
        <v>921</v>
      </c>
      <c r="D139" s="108"/>
      <c r="E139" s="108"/>
      <c r="F139" s="108"/>
      <c r="G139" s="132"/>
      <c r="H139" s="108"/>
      <c r="I139" s="139"/>
      <c r="J139" s="44"/>
      <c r="K139" s="44"/>
      <c r="L139" s="44"/>
      <c r="M139" s="44"/>
    </row>
    <row r="140" spans="1:16">
      <c r="A140" s="13">
        <v>245</v>
      </c>
      <c r="B140" s="13">
        <v>1</v>
      </c>
      <c r="C140" s="13" t="s">
        <v>16</v>
      </c>
      <c r="D140" s="104">
        <v>1089326.46</v>
      </c>
      <c r="E140" s="104">
        <v>703448.97</v>
      </c>
      <c r="F140" s="98">
        <v>3622095.18</v>
      </c>
      <c r="G140" s="98">
        <v>283337.32</v>
      </c>
      <c r="H140" s="104">
        <v>1660881.59</v>
      </c>
      <c r="I140" s="136">
        <v>283337.32</v>
      </c>
      <c r="J140" s="84">
        <f>SALARIES!J110</f>
        <v>1760502.6854000001</v>
      </c>
      <c r="K140" s="91"/>
      <c r="L140" s="140">
        <f t="shared" ref="L140:L150" si="26">+E140/8*12</f>
        <v>1055173.4550000001</v>
      </c>
    </row>
    <row r="141" spans="1:16">
      <c r="A141" s="13">
        <v>245</v>
      </c>
      <c r="B141" s="13">
        <v>3</v>
      </c>
      <c r="C141" s="13" t="s">
        <v>56</v>
      </c>
      <c r="D141" s="104">
        <v>18000</v>
      </c>
      <c r="E141" s="104">
        <v>11000</v>
      </c>
      <c r="F141" s="104">
        <f>L141*5.8/100+L141</f>
        <v>17457</v>
      </c>
      <c r="G141" s="128">
        <v>4000</v>
      </c>
      <c r="H141" s="104">
        <v>17643.7899</v>
      </c>
      <c r="I141" s="136">
        <v>4000</v>
      </c>
      <c r="J141" s="84">
        <f>SALARIES!J111</f>
        <v>18702.417293999999</v>
      </c>
      <c r="K141" s="40"/>
      <c r="L141" s="140">
        <f t="shared" si="26"/>
        <v>16500</v>
      </c>
    </row>
    <row r="142" spans="1:16">
      <c r="A142" s="13">
        <v>245</v>
      </c>
      <c r="B142" s="13">
        <v>6</v>
      </c>
      <c r="C142" s="13" t="s">
        <v>19</v>
      </c>
      <c r="D142" s="104">
        <v>12546</v>
      </c>
      <c r="E142" s="104">
        <v>8956.7999999999993</v>
      </c>
      <c r="F142" s="104">
        <f t="shared" ref="F142:F150" si="27">L142*5.8/100+L142</f>
        <v>14214.441599999998</v>
      </c>
      <c r="G142" s="128">
        <v>0</v>
      </c>
      <c r="H142" s="104">
        <v>14366.536125119997</v>
      </c>
      <c r="I142" s="136">
        <v>0</v>
      </c>
      <c r="J142" s="84">
        <f>SALARIES!J112</f>
        <v>15228.528292627198</v>
      </c>
      <c r="K142" s="40"/>
      <c r="L142" s="140">
        <f t="shared" si="26"/>
        <v>13435.199999999999</v>
      </c>
    </row>
    <row r="143" spans="1:16">
      <c r="A143" s="13">
        <v>245</v>
      </c>
      <c r="B143" s="13">
        <v>8</v>
      </c>
      <c r="C143" s="13" t="s">
        <v>173</v>
      </c>
      <c r="D143" s="104">
        <v>31949.25</v>
      </c>
      <c r="E143" s="104">
        <v>0</v>
      </c>
      <c r="F143" s="104">
        <f t="shared" si="27"/>
        <v>0</v>
      </c>
      <c r="G143" s="128"/>
      <c r="H143" s="104">
        <v>0</v>
      </c>
      <c r="I143" s="136">
        <v>0</v>
      </c>
      <c r="J143" s="84">
        <f>SALARIES!J113</f>
        <v>0</v>
      </c>
      <c r="K143" s="40"/>
      <c r="L143" s="140">
        <f t="shared" si="26"/>
        <v>0</v>
      </c>
    </row>
    <row r="144" spans="1:16">
      <c r="A144" s="13">
        <v>245</v>
      </c>
      <c r="B144" s="13">
        <v>10</v>
      </c>
      <c r="C144" s="13" t="s">
        <v>22</v>
      </c>
      <c r="D144" s="104">
        <v>32719.94</v>
      </c>
      <c r="E144" s="104">
        <v>23095.73</v>
      </c>
      <c r="F144" s="104">
        <f t="shared" si="27"/>
        <v>36652.923510000001</v>
      </c>
      <c r="G144" s="128">
        <v>0</v>
      </c>
      <c r="H144" s="104">
        <v>37045.109791556999</v>
      </c>
      <c r="I144" s="136">
        <v>0</v>
      </c>
      <c r="J144" s="84">
        <f>SALARIES!J114</f>
        <v>39267.816379050419</v>
      </c>
      <c r="K144" s="40"/>
      <c r="L144" s="140">
        <f t="shared" si="26"/>
        <v>34643.595000000001</v>
      </c>
    </row>
    <row r="145" spans="1:13">
      <c r="A145" s="13">
        <v>245</v>
      </c>
      <c r="B145" s="13">
        <v>14</v>
      </c>
      <c r="C145" s="13" t="s">
        <v>25</v>
      </c>
      <c r="D145" s="104">
        <v>60000</v>
      </c>
      <c r="E145" s="104">
        <v>42000</v>
      </c>
      <c r="F145" s="104">
        <f t="shared" si="27"/>
        <v>66654</v>
      </c>
      <c r="G145" s="128">
        <v>24000</v>
      </c>
      <c r="H145" s="104">
        <v>67367.197799999994</v>
      </c>
      <c r="I145" s="136">
        <v>24000</v>
      </c>
      <c r="J145" s="84">
        <f>SALARIES!J115</f>
        <v>71409.229668</v>
      </c>
      <c r="K145" s="40"/>
      <c r="L145" s="140">
        <f t="shared" si="26"/>
        <v>63000</v>
      </c>
    </row>
    <row r="146" spans="1:13">
      <c r="A146" s="13">
        <v>245</v>
      </c>
      <c r="B146" s="13">
        <v>16</v>
      </c>
      <c r="C146" s="13" t="s">
        <v>27</v>
      </c>
      <c r="D146" s="104">
        <v>5941.98</v>
      </c>
      <c r="E146" s="104">
        <v>3565.87</v>
      </c>
      <c r="F146" s="104">
        <f t="shared" si="27"/>
        <v>5659.0356900000006</v>
      </c>
      <c r="G146" s="128">
        <v>774.88</v>
      </c>
      <c r="H146" s="104">
        <v>5719.5873718830007</v>
      </c>
      <c r="I146" s="136">
        <v>774.88</v>
      </c>
      <c r="J146" s="84">
        <f>SALARIES!J116</f>
        <v>6062.7626141959809</v>
      </c>
      <c r="K146" s="40"/>
      <c r="L146" s="140">
        <f t="shared" si="26"/>
        <v>5348.8050000000003</v>
      </c>
    </row>
    <row r="147" spans="1:13">
      <c r="A147" s="13">
        <v>245</v>
      </c>
      <c r="B147" s="13">
        <v>17</v>
      </c>
      <c r="C147" s="13" t="s">
        <v>29</v>
      </c>
      <c r="D147" s="104">
        <v>13762</v>
      </c>
      <c r="E147" s="104">
        <v>9633.4</v>
      </c>
      <c r="F147" s="104">
        <f t="shared" si="27"/>
        <v>15288.205799999998</v>
      </c>
      <c r="G147" s="128">
        <v>4043.8</v>
      </c>
      <c r="H147" s="104">
        <v>15451.789602059998</v>
      </c>
      <c r="I147" s="136">
        <v>4043.86</v>
      </c>
      <c r="J147" s="84">
        <f>SALARIES!J117</f>
        <v>16378.896978183599</v>
      </c>
      <c r="K147" s="40"/>
      <c r="L147" s="140">
        <f t="shared" si="26"/>
        <v>14450.099999999999</v>
      </c>
    </row>
    <row r="148" spans="1:13">
      <c r="A148" s="13">
        <v>245</v>
      </c>
      <c r="B148" s="13">
        <v>18</v>
      </c>
      <c r="C148" s="13" t="s">
        <v>31</v>
      </c>
      <c r="D148" s="104">
        <v>84000</v>
      </c>
      <c r="E148" s="104">
        <v>42000</v>
      </c>
      <c r="F148" s="104">
        <f t="shared" si="27"/>
        <v>66654</v>
      </c>
      <c r="G148" s="128">
        <v>0</v>
      </c>
      <c r="H148" s="104">
        <v>67367.197799999994</v>
      </c>
      <c r="I148" s="136">
        <v>0</v>
      </c>
      <c r="J148" s="84">
        <f>SALARIES!J118</f>
        <v>71409.229668</v>
      </c>
      <c r="K148" s="40"/>
      <c r="L148" s="140">
        <f t="shared" si="26"/>
        <v>63000</v>
      </c>
    </row>
    <row r="149" spans="1:13">
      <c r="A149" s="13">
        <v>245</v>
      </c>
      <c r="B149" s="13">
        <v>102</v>
      </c>
      <c r="C149" s="13" t="s">
        <v>33</v>
      </c>
      <c r="D149" s="104">
        <v>12544.8</v>
      </c>
      <c r="E149" s="104">
        <v>8007.66</v>
      </c>
      <c r="F149" s="104">
        <f t="shared" si="27"/>
        <v>12708.156419999999</v>
      </c>
      <c r="G149" s="128">
        <v>3015.38</v>
      </c>
      <c r="H149" s="104">
        <v>12844.133693693999</v>
      </c>
      <c r="I149" s="136">
        <v>3015.38</v>
      </c>
      <c r="J149" s="84">
        <f>SALARIES!J119</f>
        <v>13614.781715315639</v>
      </c>
      <c r="K149" s="40"/>
      <c r="L149" s="140">
        <f t="shared" si="26"/>
        <v>12011.49</v>
      </c>
    </row>
    <row r="150" spans="1:13">
      <c r="A150" s="13">
        <v>245</v>
      </c>
      <c r="B150" s="13">
        <v>104</v>
      </c>
      <c r="C150" s="13" t="s">
        <v>34</v>
      </c>
      <c r="D150" s="104">
        <v>131.30000000000001</v>
      </c>
      <c r="E150" s="104">
        <v>91.91</v>
      </c>
      <c r="F150" s="104">
        <f t="shared" si="27"/>
        <v>145.86117000000002</v>
      </c>
      <c r="G150" s="128">
        <v>25.4</v>
      </c>
      <c r="H150" s="104">
        <v>147.421884519</v>
      </c>
      <c r="I150" s="136">
        <v>25.4</v>
      </c>
      <c r="J150" s="84">
        <f>SALARIES!J120</f>
        <v>156.26719759014</v>
      </c>
      <c r="K150" s="40"/>
      <c r="L150" s="140">
        <f t="shared" si="26"/>
        <v>137.86500000000001</v>
      </c>
    </row>
    <row r="151" spans="1:13">
      <c r="D151" s="105">
        <f t="shared" ref="D151:J151" si="28">SUM(D140:D150)</f>
        <v>1360921.73</v>
      </c>
      <c r="E151" s="105">
        <f t="shared" si="28"/>
        <v>851800.34000000008</v>
      </c>
      <c r="F151" s="105">
        <f t="shared" si="28"/>
        <v>3857528.8041900001</v>
      </c>
      <c r="G151" s="129">
        <f t="shared" si="28"/>
        <v>319196.78000000003</v>
      </c>
      <c r="H151" s="105">
        <f t="shared" si="28"/>
        <v>1898834.3539688331</v>
      </c>
      <c r="I151" s="137">
        <f t="shared" si="28"/>
        <v>319196.84000000003</v>
      </c>
      <c r="J151" s="74">
        <f t="shared" si="28"/>
        <v>2012732.6152069631</v>
      </c>
      <c r="K151" s="74"/>
    </row>
    <row r="152" spans="1:13">
      <c r="D152" s="105"/>
      <c r="E152" s="105"/>
      <c r="F152" s="105"/>
      <c r="G152" s="129"/>
      <c r="H152" s="105"/>
      <c r="I152" s="137"/>
      <c r="J152" s="47"/>
      <c r="K152" s="47"/>
    </row>
    <row r="153" spans="1:13" s="1" customFormat="1">
      <c r="A153" s="1" t="s">
        <v>927</v>
      </c>
      <c r="D153" s="108"/>
      <c r="E153" s="108"/>
      <c r="F153" s="108"/>
      <c r="G153" s="132"/>
      <c r="H153" s="108"/>
      <c r="I153" s="139"/>
      <c r="J153" s="44"/>
      <c r="K153" s="44"/>
      <c r="L153" s="44"/>
      <c r="M153" s="44"/>
    </row>
    <row r="154" spans="1:13">
      <c r="A154" s="13">
        <v>245</v>
      </c>
      <c r="B154" s="13">
        <v>278</v>
      </c>
      <c r="C154" s="13" t="s">
        <v>218</v>
      </c>
      <c r="D154" s="104">
        <v>0</v>
      </c>
      <c r="E154" s="104">
        <v>1571.14</v>
      </c>
      <c r="F154" s="104">
        <v>2000</v>
      </c>
      <c r="G154" s="128">
        <v>0</v>
      </c>
      <c r="H154" s="104">
        <f>RME!H10</f>
        <v>2000</v>
      </c>
      <c r="I154" s="136">
        <v>0</v>
      </c>
      <c r="J154" s="80">
        <v>0</v>
      </c>
      <c r="K154" s="40">
        <f>I154/7*12</f>
        <v>0</v>
      </c>
    </row>
    <row r="155" spans="1:13">
      <c r="D155" s="105">
        <f t="shared" ref="D155:J155" si="29">D154</f>
        <v>0</v>
      </c>
      <c r="E155" s="105">
        <f t="shared" si="29"/>
        <v>1571.14</v>
      </c>
      <c r="F155" s="105">
        <f t="shared" si="29"/>
        <v>2000</v>
      </c>
      <c r="G155" s="129">
        <f t="shared" si="29"/>
        <v>0</v>
      </c>
      <c r="H155" s="105">
        <f t="shared" si="29"/>
        <v>2000</v>
      </c>
      <c r="I155" s="137">
        <f t="shared" si="29"/>
        <v>0</v>
      </c>
      <c r="J155" s="74">
        <f t="shared" si="29"/>
        <v>0</v>
      </c>
      <c r="K155" s="74"/>
    </row>
    <row r="156" spans="1:13">
      <c r="D156" s="105"/>
      <c r="E156" s="105"/>
      <c r="F156" s="105"/>
      <c r="G156" s="129"/>
      <c r="H156" s="105"/>
      <c r="I156" s="137"/>
      <c r="J156" s="47"/>
      <c r="K156" s="47"/>
    </row>
    <row r="157" spans="1:13">
      <c r="A157" s="22" t="s">
        <v>44</v>
      </c>
      <c r="D157" s="105"/>
      <c r="E157" s="105"/>
      <c r="F157" s="105"/>
      <c r="G157" s="129"/>
      <c r="H157" s="105"/>
      <c r="I157" s="137"/>
      <c r="J157" s="47"/>
      <c r="K157" s="47"/>
    </row>
    <row r="158" spans="1:13">
      <c r="A158" s="13">
        <v>245</v>
      </c>
      <c r="B158" s="13">
        <v>210</v>
      </c>
      <c r="C158" s="13" t="s">
        <v>44</v>
      </c>
      <c r="D158" s="104">
        <v>299904.56</v>
      </c>
      <c r="E158" s="104">
        <v>0</v>
      </c>
      <c r="F158" s="104">
        <f>'NON CASH'!G9</f>
        <v>305902.65120000002</v>
      </c>
      <c r="G158" s="128">
        <v>0</v>
      </c>
      <c r="H158" s="104">
        <f>'NON CASH'!H9</f>
        <v>321197.78376000002</v>
      </c>
      <c r="I158" s="136"/>
      <c r="J158" s="84">
        <f>'NON CASH'!I9</f>
        <v>327621.7394352</v>
      </c>
      <c r="K158" s="91"/>
      <c r="L158" s="140">
        <f>+E158/8*12</f>
        <v>0</v>
      </c>
    </row>
    <row r="159" spans="1:13">
      <c r="D159" s="105"/>
      <c r="E159" s="105"/>
      <c r="F159" s="105">
        <f>F158</f>
        <v>305902.65120000002</v>
      </c>
      <c r="G159" s="129">
        <f>G158</f>
        <v>0</v>
      </c>
      <c r="H159" s="105">
        <f>H158</f>
        <v>321197.78376000002</v>
      </c>
      <c r="I159" s="137">
        <f>I158</f>
        <v>0</v>
      </c>
      <c r="J159" s="74">
        <f>J158</f>
        <v>327621.7394352</v>
      </c>
      <c r="K159" s="74"/>
    </row>
    <row r="160" spans="1:13">
      <c r="A160" s="1" t="s">
        <v>922</v>
      </c>
      <c r="D160" s="105"/>
      <c r="E160" s="105"/>
      <c r="F160" s="105"/>
      <c r="G160" s="129"/>
      <c r="H160" s="105"/>
      <c r="I160" s="137"/>
      <c r="J160" s="47"/>
      <c r="K160" s="47"/>
    </row>
    <row r="161" spans="1:16">
      <c r="A161" s="13">
        <v>245</v>
      </c>
      <c r="B161" s="13">
        <v>123</v>
      </c>
      <c r="C161" s="13" t="s">
        <v>187</v>
      </c>
      <c r="D161" s="104">
        <v>250000</v>
      </c>
      <c r="E161" s="104">
        <v>142450.78</v>
      </c>
      <c r="F161" s="104">
        <v>0</v>
      </c>
      <c r="G161" s="128"/>
      <c r="H161" s="104">
        <v>0</v>
      </c>
      <c r="I161" s="136">
        <v>0</v>
      </c>
      <c r="J161" s="80">
        <v>0</v>
      </c>
      <c r="K161" s="40">
        <f>I161/7*12</f>
        <v>0</v>
      </c>
      <c r="L161" s="140">
        <f t="shared" ref="L161:L169" si="30">+E161/8*12</f>
        <v>213676.16999999998</v>
      </c>
    </row>
    <row r="162" spans="1:16">
      <c r="A162" s="13">
        <v>245</v>
      </c>
      <c r="B162" s="13">
        <v>135</v>
      </c>
      <c r="C162" s="13" t="s">
        <v>189</v>
      </c>
      <c r="D162" s="104">
        <v>70000</v>
      </c>
      <c r="E162" s="104">
        <v>34960.160000000003</v>
      </c>
      <c r="F162" s="104">
        <v>80000</v>
      </c>
      <c r="G162" s="128">
        <v>88265.67</v>
      </c>
      <c r="H162" s="104">
        <v>176000</v>
      </c>
      <c r="I162" s="136">
        <v>92544.08</v>
      </c>
      <c r="J162" s="80">
        <v>165000</v>
      </c>
      <c r="K162" s="40">
        <f t="shared" ref="K162:K169" si="31">I162/7*12</f>
        <v>158646.99428571429</v>
      </c>
      <c r="L162" s="140">
        <f t="shared" si="30"/>
        <v>52440.240000000005</v>
      </c>
    </row>
    <row r="163" spans="1:16">
      <c r="A163" s="13">
        <v>245</v>
      </c>
      <c r="B163" s="13">
        <v>175</v>
      </c>
      <c r="C163" s="13" t="s">
        <v>195</v>
      </c>
      <c r="D163" s="104">
        <v>10000</v>
      </c>
      <c r="E163" s="104">
        <v>6081.28</v>
      </c>
      <c r="F163" s="104">
        <v>10000</v>
      </c>
      <c r="G163" s="128">
        <v>5917.01</v>
      </c>
      <c r="H163" s="104">
        <v>15000</v>
      </c>
      <c r="I163" s="136">
        <v>5917.01</v>
      </c>
      <c r="J163" s="80">
        <v>20000</v>
      </c>
      <c r="K163" s="40">
        <f t="shared" si="31"/>
        <v>10143.445714285714</v>
      </c>
      <c r="L163" s="140">
        <f t="shared" si="30"/>
        <v>9121.92</v>
      </c>
    </row>
    <row r="164" spans="1:16">
      <c r="A164" s="13">
        <v>245</v>
      </c>
      <c r="B164" s="13">
        <v>179</v>
      </c>
      <c r="C164" s="13" t="s">
        <v>254</v>
      </c>
      <c r="D164" s="104">
        <v>0</v>
      </c>
      <c r="E164" s="104">
        <v>4130.8</v>
      </c>
      <c r="F164" s="104">
        <v>0</v>
      </c>
      <c r="G164" s="128"/>
      <c r="H164" s="104">
        <v>0</v>
      </c>
      <c r="I164" s="136">
        <v>0</v>
      </c>
      <c r="J164" s="80">
        <v>0</v>
      </c>
      <c r="K164" s="40">
        <f t="shared" si="31"/>
        <v>0</v>
      </c>
      <c r="L164" s="140">
        <f t="shared" si="30"/>
        <v>6196.2000000000007</v>
      </c>
    </row>
    <row r="165" spans="1:16">
      <c r="A165" s="13">
        <v>245</v>
      </c>
      <c r="B165" s="13">
        <v>193</v>
      </c>
      <c r="C165" s="13" t="s">
        <v>255</v>
      </c>
      <c r="D165" s="104">
        <v>105597.63</v>
      </c>
      <c r="E165" s="104">
        <v>50000</v>
      </c>
      <c r="F165" s="104">
        <v>150000</v>
      </c>
      <c r="G165" s="128">
        <v>0</v>
      </c>
      <c r="H165" s="104">
        <v>0</v>
      </c>
      <c r="I165" s="136">
        <v>0</v>
      </c>
      <c r="J165" s="80">
        <f>1000000-138509.22</f>
        <v>861490.78</v>
      </c>
      <c r="K165" s="40">
        <f t="shared" si="31"/>
        <v>0</v>
      </c>
      <c r="L165" s="140">
        <f t="shared" si="30"/>
        <v>75000</v>
      </c>
    </row>
    <row r="166" spans="1:16">
      <c r="A166" s="13">
        <v>245</v>
      </c>
      <c r="B166" s="13">
        <v>195</v>
      </c>
      <c r="C166" s="13" t="s">
        <v>38</v>
      </c>
      <c r="D166" s="104">
        <v>60000</v>
      </c>
      <c r="E166" s="104">
        <v>54837.77</v>
      </c>
      <c r="F166" s="104">
        <v>60000</v>
      </c>
      <c r="G166" s="128">
        <v>60121.34</v>
      </c>
      <c r="H166" s="104">
        <v>120000</v>
      </c>
      <c r="I166" s="136">
        <v>79821.34</v>
      </c>
      <c r="J166" s="80">
        <v>120000</v>
      </c>
      <c r="K166" s="40">
        <f t="shared" si="31"/>
        <v>136836.58285714284</v>
      </c>
      <c r="L166" s="140">
        <f t="shared" si="30"/>
        <v>82256.654999999999</v>
      </c>
    </row>
    <row r="167" spans="1:16">
      <c r="A167" s="13">
        <v>245</v>
      </c>
      <c r="B167" s="13">
        <v>204</v>
      </c>
      <c r="C167" s="13" t="s">
        <v>42</v>
      </c>
      <c r="D167" s="104">
        <v>30000</v>
      </c>
      <c r="E167" s="104">
        <v>18711.5</v>
      </c>
      <c r="F167" s="104">
        <v>20000</v>
      </c>
      <c r="G167" s="128">
        <v>13916.13</v>
      </c>
      <c r="H167" s="104">
        <v>40000</v>
      </c>
      <c r="I167" s="136">
        <v>13916.13</v>
      </c>
      <c r="J167" s="80">
        <v>25000</v>
      </c>
      <c r="K167" s="40">
        <f t="shared" si="31"/>
        <v>23856.222857142857</v>
      </c>
      <c r="L167" s="140">
        <f t="shared" si="30"/>
        <v>28067.25</v>
      </c>
    </row>
    <row r="168" spans="1:16">
      <c r="A168" s="13">
        <v>245</v>
      </c>
      <c r="B168" s="13">
        <v>208</v>
      </c>
      <c r="C168" s="13" t="s">
        <v>207</v>
      </c>
      <c r="D168" s="104">
        <v>600</v>
      </c>
      <c r="E168" s="104">
        <v>386</v>
      </c>
      <c r="F168" s="104">
        <v>600</v>
      </c>
      <c r="G168" s="128">
        <v>0</v>
      </c>
      <c r="H168" s="104">
        <v>0</v>
      </c>
      <c r="I168" s="136">
        <v>0</v>
      </c>
      <c r="J168" s="80">
        <v>0</v>
      </c>
      <c r="K168" s="40">
        <f t="shared" si="31"/>
        <v>0</v>
      </c>
      <c r="L168" s="140">
        <f t="shared" si="30"/>
        <v>579</v>
      </c>
    </row>
    <row r="169" spans="1:16">
      <c r="A169" s="13">
        <v>245</v>
      </c>
      <c r="B169" s="13">
        <v>225</v>
      </c>
      <c r="C169" s="13" t="s">
        <v>259</v>
      </c>
      <c r="D169" s="104">
        <v>600</v>
      </c>
      <c r="E169" s="104">
        <v>480</v>
      </c>
      <c r="F169" s="104">
        <v>600</v>
      </c>
      <c r="G169" s="128">
        <v>0</v>
      </c>
      <c r="H169" s="104">
        <v>6000</v>
      </c>
      <c r="I169" s="136">
        <v>0</v>
      </c>
      <c r="J169" s="80">
        <v>0</v>
      </c>
      <c r="K169" s="40">
        <f t="shared" si="31"/>
        <v>0</v>
      </c>
      <c r="L169" s="140">
        <f t="shared" si="30"/>
        <v>720</v>
      </c>
    </row>
    <row r="170" spans="1:16" ht="15.75" thickBot="1">
      <c r="D170" s="105">
        <f t="shared" ref="D170:J170" si="32">SUM(D161:D169)</f>
        <v>526797.63</v>
      </c>
      <c r="E170" s="105">
        <f t="shared" si="32"/>
        <v>312038.28999999998</v>
      </c>
      <c r="F170" s="105">
        <f t="shared" si="32"/>
        <v>321200</v>
      </c>
      <c r="G170" s="129">
        <f t="shared" si="32"/>
        <v>168220.15</v>
      </c>
      <c r="H170" s="105">
        <f t="shared" si="32"/>
        <v>357000</v>
      </c>
      <c r="I170" s="137">
        <f t="shared" si="32"/>
        <v>192198.56</v>
      </c>
      <c r="J170" s="74">
        <f t="shared" si="32"/>
        <v>1191490.78</v>
      </c>
      <c r="K170" s="74"/>
    </row>
    <row r="171" spans="1:16" ht="15.75" thickBot="1">
      <c r="H171" s="102"/>
      <c r="I171" s="133"/>
      <c r="M171" s="61" t="s">
        <v>916</v>
      </c>
      <c r="N171" s="221" t="s">
        <v>1105</v>
      </c>
      <c r="O171" s="59" t="s">
        <v>1103</v>
      </c>
      <c r="P171" s="59" t="s">
        <v>1117</v>
      </c>
    </row>
    <row r="172" spans="1:16" s="1" customFormat="1">
      <c r="A172" s="1" t="s">
        <v>923</v>
      </c>
      <c r="D172" s="108"/>
      <c r="E172" s="108"/>
      <c r="F172" s="108"/>
      <c r="G172" s="132"/>
      <c r="H172" s="108"/>
      <c r="I172" s="139"/>
      <c r="J172" s="44"/>
      <c r="K172" s="44"/>
      <c r="L172" s="44" t="s">
        <v>949</v>
      </c>
      <c r="M172" s="44">
        <f>D151+D170+D155</f>
        <v>1887719.3599999999</v>
      </c>
      <c r="N172" s="27">
        <f>F151+F155+F159+F170</f>
        <v>4486631.4553900007</v>
      </c>
      <c r="O172" s="44">
        <f>H151+H155+H159+H170</f>
        <v>2579032.1377288331</v>
      </c>
      <c r="P172" s="44">
        <f>J151+J155+J159+J170</f>
        <v>3531845.1346421633</v>
      </c>
    </row>
    <row r="173" spans="1:16">
      <c r="A173" s="13">
        <v>245</v>
      </c>
      <c r="B173" s="13">
        <v>8855</v>
      </c>
      <c r="C173" s="13" t="s">
        <v>232</v>
      </c>
      <c r="D173" s="104">
        <v>0</v>
      </c>
      <c r="E173" s="104">
        <v>-6192.52</v>
      </c>
      <c r="F173" s="104">
        <v>-25000</v>
      </c>
      <c r="G173" s="128">
        <v>-2842.76</v>
      </c>
      <c r="H173" s="104">
        <f>'RENT REVENUE'!H6</f>
        <v>-10000</v>
      </c>
      <c r="I173" s="136">
        <v>-2842.76</v>
      </c>
      <c r="J173" s="80">
        <f>-4873.30285714286+-292.4</f>
        <v>-5165.70285714286</v>
      </c>
      <c r="K173" s="40">
        <f>I173/7*12</f>
        <v>-4873.3028571428576</v>
      </c>
      <c r="L173" s="44" t="s">
        <v>950</v>
      </c>
      <c r="M173" s="44">
        <f>D175</f>
        <v>-1648811.84</v>
      </c>
      <c r="N173" s="27">
        <f>F175</f>
        <v>-5896155.2599999998</v>
      </c>
      <c r="O173" s="27">
        <f>H175</f>
        <v>-5881155.2599999998</v>
      </c>
      <c r="P173" s="27">
        <f>J175</f>
        <v>-5876320.962857143</v>
      </c>
    </row>
    <row r="174" spans="1:16" ht="15.75" thickBot="1">
      <c r="A174" s="13">
        <v>245</v>
      </c>
      <c r="B174" s="13">
        <v>8875</v>
      </c>
      <c r="C174" s="13" t="s">
        <v>121</v>
      </c>
      <c r="D174" s="104">
        <v>-1648811.84</v>
      </c>
      <c r="E174" s="104">
        <v>0</v>
      </c>
      <c r="F174" s="104">
        <f>GRANTS!G13</f>
        <v>-5871155.2599999998</v>
      </c>
      <c r="G174" s="128">
        <v>0</v>
      </c>
      <c r="H174" s="104">
        <f>GRANTS!H13</f>
        <v>-5871155.2599999998</v>
      </c>
      <c r="I174" s="136">
        <v>0</v>
      </c>
      <c r="J174" s="84">
        <f>GRANTS!I13</f>
        <v>-5871155.2599999998</v>
      </c>
      <c r="K174" s="40"/>
      <c r="M174" s="50">
        <f>M172+M173</f>
        <v>238907.51999999979</v>
      </c>
      <c r="N174" s="50">
        <f>N172+N173</f>
        <v>-1409523.8046099991</v>
      </c>
      <c r="O174" s="50">
        <f>O172+O173</f>
        <v>-3302123.1222711666</v>
      </c>
      <c r="P174" s="50">
        <f>P172+P173</f>
        <v>-2344475.8282149797</v>
      </c>
    </row>
    <row r="175" spans="1:16" ht="15.75" thickTop="1">
      <c r="D175" s="105">
        <f t="shared" ref="D175:J175" si="33">SUM(D173:D174)</f>
        <v>-1648811.84</v>
      </c>
      <c r="E175" s="105">
        <f t="shared" si="33"/>
        <v>-6192.52</v>
      </c>
      <c r="F175" s="105">
        <f t="shared" si="33"/>
        <v>-5896155.2599999998</v>
      </c>
      <c r="G175" s="129">
        <f t="shared" si="33"/>
        <v>-2842.76</v>
      </c>
      <c r="H175" s="105">
        <f t="shared" si="33"/>
        <v>-5881155.2599999998</v>
      </c>
      <c r="I175" s="137">
        <f t="shared" si="33"/>
        <v>-2842.76</v>
      </c>
      <c r="J175" s="74">
        <f t="shared" si="33"/>
        <v>-5876320.962857143</v>
      </c>
      <c r="K175" s="74"/>
    </row>
    <row r="176" spans="1:16">
      <c r="H176" s="102"/>
      <c r="I176" s="133"/>
    </row>
    <row r="177" spans="1:13" s="1" customFormat="1">
      <c r="A177" s="1" t="s">
        <v>921</v>
      </c>
      <c r="D177" s="108"/>
      <c r="E177" s="108"/>
      <c r="F177" s="108"/>
      <c r="G177" s="132"/>
      <c r="H177" s="108"/>
      <c r="I177" s="139"/>
      <c r="J177" s="44"/>
      <c r="K177" s="44"/>
      <c r="L177" s="44"/>
      <c r="M177" s="44"/>
    </row>
    <row r="178" spans="1:13">
      <c r="A178" s="13">
        <v>262</v>
      </c>
      <c r="B178" s="13">
        <v>1</v>
      </c>
      <c r="C178" s="13" t="s">
        <v>16</v>
      </c>
      <c r="D178" s="104">
        <v>4674684.1399999997</v>
      </c>
      <c r="E178" s="104">
        <v>3369539.53</v>
      </c>
      <c r="F178" s="104">
        <f>L178*5.8/100+L178</f>
        <v>5347459.2341099996</v>
      </c>
      <c r="G178" s="128">
        <v>2563239.06</v>
      </c>
      <c r="H178" s="104">
        <v>5404677.0479149763</v>
      </c>
      <c r="I178" s="136">
        <v>2553239.06</v>
      </c>
      <c r="J178" s="80">
        <f>SALARIES!J123</f>
        <v>5728957.6707898751</v>
      </c>
      <c r="K178" s="40"/>
      <c r="L178" s="140">
        <f t="shared" ref="L178:L191" si="34">+E178/8*12</f>
        <v>5054309.2949999999</v>
      </c>
    </row>
    <row r="179" spans="1:13">
      <c r="A179" s="13">
        <v>262</v>
      </c>
      <c r="B179" s="13">
        <v>3</v>
      </c>
      <c r="C179" s="13" t="s">
        <v>56</v>
      </c>
      <c r="D179" s="104">
        <v>4800</v>
      </c>
      <c r="E179" s="104">
        <v>3360</v>
      </c>
      <c r="F179" s="104">
        <v>15332.32</v>
      </c>
      <c r="G179" s="128">
        <v>5940</v>
      </c>
      <c r="H179" s="104">
        <v>15496.375823999999</v>
      </c>
      <c r="I179" s="136">
        <v>5940</v>
      </c>
      <c r="J179" s="80">
        <f>SALARIES!J124</f>
        <v>16426.158373439997</v>
      </c>
      <c r="K179" s="40"/>
      <c r="L179" s="140">
        <f t="shared" si="34"/>
        <v>5040</v>
      </c>
    </row>
    <row r="180" spans="1:13">
      <c r="A180" s="13">
        <v>262</v>
      </c>
      <c r="B180" s="13">
        <v>4</v>
      </c>
      <c r="C180" s="13" t="s">
        <v>58</v>
      </c>
      <c r="D180" s="104">
        <v>4893.74</v>
      </c>
      <c r="E180" s="104">
        <v>3502.37</v>
      </c>
      <c r="F180" s="104">
        <f t="shared" ref="F180:F191" si="35">L180*5.8/100+L180</f>
        <v>5558.2611900000002</v>
      </c>
      <c r="G180" s="128">
        <v>2797.09</v>
      </c>
      <c r="H180" s="104">
        <v>5617.7345847329998</v>
      </c>
      <c r="I180" s="136">
        <v>2797.09</v>
      </c>
      <c r="J180" s="80">
        <f>SALARIES!J125</f>
        <v>5954.79865981698</v>
      </c>
      <c r="K180" s="40"/>
      <c r="L180" s="140">
        <f t="shared" si="34"/>
        <v>5253.5550000000003</v>
      </c>
    </row>
    <row r="181" spans="1:13">
      <c r="A181" s="13">
        <v>262</v>
      </c>
      <c r="B181" s="13">
        <v>6</v>
      </c>
      <c r="C181" s="13" t="s">
        <v>19</v>
      </c>
      <c r="D181" s="104">
        <v>130230</v>
      </c>
      <c r="E181" s="104">
        <v>95129.4</v>
      </c>
      <c r="F181" s="104">
        <f t="shared" si="35"/>
        <v>150970.35779999997</v>
      </c>
      <c r="G181" s="128">
        <v>80142</v>
      </c>
      <c r="H181" s="104">
        <v>152585.74062845996</v>
      </c>
      <c r="I181" s="136">
        <v>0</v>
      </c>
      <c r="J181" s="80">
        <f>SALARIES!J126</f>
        <v>161740.88506616757</v>
      </c>
      <c r="K181" s="40"/>
      <c r="L181" s="140">
        <f t="shared" si="34"/>
        <v>142694.09999999998</v>
      </c>
    </row>
    <row r="182" spans="1:13">
      <c r="A182" s="13">
        <v>262</v>
      </c>
      <c r="B182" s="13">
        <v>7</v>
      </c>
      <c r="C182" s="13" t="s">
        <v>269</v>
      </c>
      <c r="D182" s="104">
        <v>58147.16</v>
      </c>
      <c r="E182" s="104">
        <v>0</v>
      </c>
      <c r="F182" s="104">
        <f t="shared" si="35"/>
        <v>0</v>
      </c>
      <c r="G182" s="128"/>
      <c r="H182" s="104">
        <v>0</v>
      </c>
      <c r="I182" s="136">
        <v>35265.21</v>
      </c>
      <c r="J182" s="80">
        <f>SALARIES!J127</f>
        <v>0</v>
      </c>
      <c r="K182" s="40"/>
      <c r="L182" s="140">
        <f t="shared" si="34"/>
        <v>0</v>
      </c>
    </row>
    <row r="183" spans="1:13">
      <c r="A183" s="13">
        <v>262</v>
      </c>
      <c r="B183" s="13">
        <v>8</v>
      </c>
      <c r="C183" s="13" t="s">
        <v>173</v>
      </c>
      <c r="D183" s="104">
        <v>438755.99</v>
      </c>
      <c r="E183" s="104">
        <v>337745.98</v>
      </c>
      <c r="F183" s="98">
        <v>386002.87</v>
      </c>
      <c r="G183" s="98">
        <v>394135.72</v>
      </c>
      <c r="H183" s="104">
        <v>800000</v>
      </c>
      <c r="I183" s="136">
        <v>394135.72</v>
      </c>
      <c r="J183" s="80">
        <f>SALARIES!J128</f>
        <v>848000</v>
      </c>
      <c r="K183" s="91"/>
      <c r="L183" s="140">
        <f t="shared" si="34"/>
        <v>506618.97</v>
      </c>
    </row>
    <row r="184" spans="1:13">
      <c r="A184" s="13">
        <v>262</v>
      </c>
      <c r="B184" s="13">
        <v>10</v>
      </c>
      <c r="C184" s="13" t="s">
        <v>22</v>
      </c>
      <c r="D184" s="104">
        <v>826759.46</v>
      </c>
      <c r="E184" s="104">
        <v>585348.02</v>
      </c>
      <c r="F184" s="104">
        <f t="shared" si="35"/>
        <v>928947.30774000008</v>
      </c>
      <c r="G184" s="128">
        <v>452240.79</v>
      </c>
      <c r="H184" s="104">
        <v>938887.04393281811</v>
      </c>
      <c r="I184" s="136">
        <v>452240.79</v>
      </c>
      <c r="J184" s="80">
        <f>SALARIES!J129</f>
        <v>995220.26656878716</v>
      </c>
      <c r="K184" s="40"/>
      <c r="L184" s="140">
        <f t="shared" si="34"/>
        <v>878022.03</v>
      </c>
    </row>
    <row r="185" spans="1:13">
      <c r="A185" s="13">
        <v>262</v>
      </c>
      <c r="B185" s="13">
        <v>13</v>
      </c>
      <c r="C185" s="13" t="s">
        <v>273</v>
      </c>
      <c r="D185" s="104">
        <v>0</v>
      </c>
      <c r="E185" s="104">
        <v>2527.91</v>
      </c>
      <c r="F185" s="104">
        <f t="shared" si="35"/>
        <v>4011.7931699999999</v>
      </c>
      <c r="G185" s="128">
        <v>1894.1</v>
      </c>
      <c r="H185" s="104">
        <v>4054.7193569189999</v>
      </c>
      <c r="I185" s="136">
        <v>1894.1</v>
      </c>
      <c r="J185" s="80">
        <f>SALARIES!J130</f>
        <v>4298.0025183341395</v>
      </c>
      <c r="K185" s="40"/>
      <c r="L185" s="140">
        <f t="shared" si="34"/>
        <v>3791.8649999999998</v>
      </c>
    </row>
    <row r="186" spans="1:13">
      <c r="A186" s="13">
        <v>262</v>
      </c>
      <c r="B186" s="13">
        <v>14</v>
      </c>
      <c r="C186" s="13" t="s">
        <v>25</v>
      </c>
      <c r="D186" s="104">
        <v>84980</v>
      </c>
      <c r="E186" s="104">
        <v>64369</v>
      </c>
      <c r="F186" s="104">
        <f t="shared" si="35"/>
        <v>102153.603</v>
      </c>
      <c r="G186" s="128">
        <v>54697.5</v>
      </c>
      <c r="H186" s="104">
        <v>103246.64655210001</v>
      </c>
      <c r="I186" s="136">
        <v>54697.5</v>
      </c>
      <c r="J186" s="80">
        <f>SALARIES!J131</f>
        <v>109441.44534522601</v>
      </c>
      <c r="K186" s="40"/>
      <c r="L186" s="140">
        <f t="shared" si="34"/>
        <v>96553.5</v>
      </c>
    </row>
    <row r="187" spans="1:13">
      <c r="A187" s="13">
        <v>262</v>
      </c>
      <c r="B187" s="13">
        <v>16</v>
      </c>
      <c r="C187" s="13" t="s">
        <v>27</v>
      </c>
      <c r="D187" s="104">
        <v>51885.52</v>
      </c>
      <c r="E187" s="104">
        <v>38389.5</v>
      </c>
      <c r="F187" s="104">
        <f t="shared" si="35"/>
        <v>60924.136500000001</v>
      </c>
      <c r="G187" s="128">
        <v>30336.16</v>
      </c>
      <c r="H187" s="104">
        <v>61576.024760549997</v>
      </c>
      <c r="I187" s="136">
        <v>30336.16</v>
      </c>
      <c r="J187" s="80">
        <f>SALARIES!J132</f>
        <v>65270.586246182997</v>
      </c>
      <c r="K187" s="40"/>
      <c r="L187" s="140">
        <f t="shared" si="34"/>
        <v>57584.25</v>
      </c>
    </row>
    <row r="188" spans="1:13">
      <c r="A188" s="13">
        <v>262</v>
      </c>
      <c r="B188" s="13">
        <v>17</v>
      </c>
      <c r="C188" s="13" t="s">
        <v>29</v>
      </c>
      <c r="D188" s="104">
        <v>18810</v>
      </c>
      <c r="E188" s="104">
        <v>13167</v>
      </c>
      <c r="F188" s="104">
        <f t="shared" si="35"/>
        <v>20896.028999999999</v>
      </c>
      <c r="G188" s="128">
        <v>9405</v>
      </c>
      <c r="H188" s="104">
        <v>21119.616510299998</v>
      </c>
      <c r="I188" s="136">
        <v>9405</v>
      </c>
      <c r="J188" s="80">
        <f>SALARIES!J133</f>
        <v>22386.793500918</v>
      </c>
      <c r="K188" s="40"/>
      <c r="L188" s="140">
        <f t="shared" si="34"/>
        <v>19750.5</v>
      </c>
    </row>
    <row r="189" spans="1:13">
      <c r="A189" s="13">
        <v>262</v>
      </c>
      <c r="B189" s="13">
        <v>18</v>
      </c>
      <c r="C189" s="13" t="s">
        <v>31</v>
      </c>
      <c r="D189" s="104">
        <v>346796.84</v>
      </c>
      <c r="E189" s="104">
        <v>243017.77</v>
      </c>
      <c r="F189" s="104">
        <f t="shared" si="35"/>
        <v>385669.20098999998</v>
      </c>
      <c r="G189" s="128">
        <v>195680.46</v>
      </c>
      <c r="H189" s="104">
        <v>389795.86144059297</v>
      </c>
      <c r="I189" s="136">
        <v>195680.46</v>
      </c>
      <c r="J189" s="80">
        <f>SALARIES!J134</f>
        <v>413183.61312702857</v>
      </c>
      <c r="K189" s="40"/>
      <c r="L189" s="140">
        <f t="shared" si="34"/>
        <v>364526.65499999997</v>
      </c>
    </row>
    <row r="190" spans="1:13">
      <c r="A190" s="13">
        <v>262</v>
      </c>
      <c r="B190" s="13">
        <v>102</v>
      </c>
      <c r="C190" s="13" t="s">
        <v>66</v>
      </c>
      <c r="D190" s="104">
        <v>52986.1</v>
      </c>
      <c r="E190" s="104">
        <v>39057.440000000002</v>
      </c>
      <c r="F190" s="104">
        <f t="shared" si="35"/>
        <v>61984.157280000007</v>
      </c>
      <c r="G190" s="128">
        <v>31433.279999999999</v>
      </c>
      <c r="H190" s="104">
        <v>62647.387762896004</v>
      </c>
      <c r="I190" s="136">
        <v>31433.279999999999</v>
      </c>
      <c r="J190" s="80">
        <f>SALARIES!J135</f>
        <v>66406.231028669761</v>
      </c>
      <c r="K190" s="40"/>
      <c r="L190" s="140">
        <f t="shared" si="34"/>
        <v>58586.16</v>
      </c>
    </row>
    <row r="191" spans="1:13">
      <c r="A191" s="13">
        <v>262</v>
      </c>
      <c r="B191" s="13">
        <v>104</v>
      </c>
      <c r="C191" s="13" t="s">
        <v>34</v>
      </c>
      <c r="D191" s="104">
        <v>4013.76</v>
      </c>
      <c r="E191" s="104">
        <v>2834.04</v>
      </c>
      <c r="F191" s="104">
        <f t="shared" si="35"/>
        <v>4497.6214799999998</v>
      </c>
      <c r="G191" s="128">
        <v>2421.75</v>
      </c>
      <c r="H191" s="104">
        <v>4545.7460298360002</v>
      </c>
      <c r="I191" s="136">
        <v>2421.75</v>
      </c>
      <c r="J191" s="80">
        <f>SALARIES!J136</f>
        <v>4818.49079162616</v>
      </c>
      <c r="K191" s="40"/>
      <c r="L191" s="140">
        <f t="shared" si="34"/>
        <v>4251.0599999999995</v>
      </c>
    </row>
    <row r="192" spans="1:13">
      <c r="D192" s="105">
        <f t="shared" ref="D192:J192" si="36">SUM(D178:D191)</f>
        <v>6697742.709999999</v>
      </c>
      <c r="E192" s="105">
        <f t="shared" si="36"/>
        <v>4797987.96</v>
      </c>
      <c r="F192" s="105">
        <f t="shared" si="36"/>
        <v>7474406.892260001</v>
      </c>
      <c r="G192" s="129">
        <f t="shared" si="36"/>
        <v>3824362.91</v>
      </c>
      <c r="H192" s="105">
        <f t="shared" si="36"/>
        <v>7964249.9452981809</v>
      </c>
      <c r="I192" s="137">
        <f t="shared" si="36"/>
        <v>3769486.12</v>
      </c>
      <c r="J192" s="74">
        <f t="shared" si="36"/>
        <v>8442104.9420160726</v>
      </c>
      <c r="K192" s="74"/>
    </row>
    <row r="193" spans="1:13" s="1" customFormat="1">
      <c r="A193" s="1" t="s">
        <v>927</v>
      </c>
      <c r="D193" s="108"/>
      <c r="E193" s="108"/>
      <c r="F193" s="108"/>
      <c r="G193" s="132"/>
      <c r="H193" s="108"/>
      <c r="I193" s="139"/>
      <c r="J193" s="44"/>
      <c r="K193" s="44"/>
      <c r="L193" s="44"/>
      <c r="M193" s="44"/>
    </row>
    <row r="194" spans="1:13">
      <c r="A194" s="13">
        <v>262</v>
      </c>
      <c r="B194" s="13">
        <v>264</v>
      </c>
      <c r="C194" s="13" t="s">
        <v>214</v>
      </c>
      <c r="D194" s="104">
        <v>50000</v>
      </c>
      <c r="E194" s="104">
        <v>1597.15</v>
      </c>
      <c r="F194" s="104">
        <v>0</v>
      </c>
      <c r="G194" s="98">
        <v>350.8</v>
      </c>
      <c r="H194" s="104">
        <f>RME!H11</f>
        <v>0</v>
      </c>
      <c r="I194" s="136">
        <v>350.8</v>
      </c>
      <c r="J194" s="80">
        <v>1000</v>
      </c>
      <c r="K194" s="40">
        <f>I194/7*12</f>
        <v>601.37142857142862</v>
      </c>
      <c r="L194" s="140">
        <f>+E194/8*12</f>
        <v>2395.7250000000004</v>
      </c>
    </row>
    <row r="195" spans="1:13">
      <c r="A195" s="13">
        <v>262</v>
      </c>
      <c r="B195" s="13">
        <v>278</v>
      </c>
      <c r="C195" s="13" t="s">
        <v>218</v>
      </c>
      <c r="D195" s="104">
        <v>35000</v>
      </c>
      <c r="E195" s="104">
        <v>20031.259999999998</v>
      </c>
      <c r="F195" s="104">
        <v>50000</v>
      </c>
      <c r="G195" s="128">
        <v>0</v>
      </c>
      <c r="H195" s="104">
        <f>RME!H12</f>
        <v>20000</v>
      </c>
      <c r="I195" s="136">
        <v>0</v>
      </c>
      <c r="J195" s="80">
        <v>30000</v>
      </c>
      <c r="K195" s="40">
        <f>I195/7*12</f>
        <v>0</v>
      </c>
      <c r="L195" s="140">
        <f>+E195/8*12</f>
        <v>30046.89</v>
      </c>
    </row>
    <row r="196" spans="1:13">
      <c r="A196" s="13">
        <v>262</v>
      </c>
      <c r="B196" s="13">
        <v>284</v>
      </c>
      <c r="C196" s="13" t="s">
        <v>221</v>
      </c>
      <c r="D196" s="104">
        <v>200000</v>
      </c>
      <c r="E196" s="104">
        <v>130811.54</v>
      </c>
      <c r="F196" s="104">
        <v>200000</v>
      </c>
      <c r="G196" s="128">
        <v>61989.61</v>
      </c>
      <c r="H196" s="104">
        <f>RME!H13</f>
        <v>200000</v>
      </c>
      <c r="I196" s="136">
        <v>66718.86</v>
      </c>
      <c r="J196" s="80">
        <v>150000</v>
      </c>
      <c r="K196" s="40">
        <f>I196/7*12</f>
        <v>114375.18857142859</v>
      </c>
      <c r="L196" s="140">
        <f>+E196/8*12</f>
        <v>196217.31</v>
      </c>
    </row>
    <row r="197" spans="1:13">
      <c r="A197" s="13">
        <v>262</v>
      </c>
      <c r="B197" s="13">
        <v>299</v>
      </c>
      <c r="C197" s="13" t="s">
        <v>290</v>
      </c>
      <c r="D197" s="104">
        <v>153000</v>
      </c>
      <c r="E197" s="104">
        <v>47110</v>
      </c>
      <c r="F197" s="104">
        <v>100000</v>
      </c>
      <c r="G197" s="128">
        <v>49811.3</v>
      </c>
      <c r="H197" s="104">
        <f>RME!H14</f>
        <v>100000</v>
      </c>
      <c r="I197" s="136">
        <v>128981.3</v>
      </c>
      <c r="J197" s="80">
        <v>300000</v>
      </c>
      <c r="K197" s="40">
        <f>I197/7*12</f>
        <v>221110.80000000002</v>
      </c>
      <c r="L197" s="140">
        <f>+E197/8*12</f>
        <v>70665</v>
      </c>
    </row>
    <row r="198" spans="1:13">
      <c r="D198" s="105">
        <f t="shared" ref="D198:J198" si="37">SUM(D194:D197)</f>
        <v>438000</v>
      </c>
      <c r="E198" s="105">
        <f t="shared" si="37"/>
        <v>199549.94999999998</v>
      </c>
      <c r="F198" s="105">
        <f t="shared" si="37"/>
        <v>350000</v>
      </c>
      <c r="G198" s="129">
        <f t="shared" si="37"/>
        <v>112151.71</v>
      </c>
      <c r="H198" s="105">
        <f t="shared" si="37"/>
        <v>320000</v>
      </c>
      <c r="I198" s="137">
        <f t="shared" si="37"/>
        <v>196050.96000000002</v>
      </c>
      <c r="J198" s="74">
        <f t="shared" si="37"/>
        <v>481000</v>
      </c>
      <c r="K198" s="74"/>
    </row>
    <row r="199" spans="1:13">
      <c r="D199" s="105"/>
      <c r="E199" s="105"/>
      <c r="F199" s="105"/>
      <c r="G199" s="129"/>
      <c r="H199" s="105"/>
      <c r="I199" s="137"/>
      <c r="J199" s="47"/>
      <c r="K199" s="47"/>
    </row>
    <row r="200" spans="1:13">
      <c r="A200" s="1" t="s">
        <v>44</v>
      </c>
      <c r="D200" s="105"/>
      <c r="E200" s="105"/>
      <c r="F200" s="105"/>
      <c r="G200" s="129"/>
      <c r="H200" s="105"/>
      <c r="I200" s="137"/>
      <c r="J200" s="47"/>
      <c r="K200" s="47"/>
    </row>
    <row r="201" spans="1:13">
      <c r="A201" s="13">
        <v>262</v>
      </c>
      <c r="B201" s="13">
        <v>210</v>
      </c>
      <c r="C201" s="13" t="s">
        <v>44</v>
      </c>
      <c r="D201" s="104">
        <v>41451.43</v>
      </c>
      <c r="E201" s="104">
        <v>0</v>
      </c>
      <c r="F201" s="104">
        <f>'NON CASH'!G10</f>
        <v>42280.458599999998</v>
      </c>
      <c r="G201" s="128">
        <v>0</v>
      </c>
      <c r="H201" s="104">
        <f>'NON CASH'!H10</f>
        <v>44394.481529999997</v>
      </c>
      <c r="I201" s="136"/>
      <c r="J201" s="83">
        <f>'NON CASH'!I10</f>
        <v>45282.3711606</v>
      </c>
      <c r="K201" s="286"/>
      <c r="L201" s="140">
        <f>+E201/8*12</f>
        <v>0</v>
      </c>
    </row>
    <row r="202" spans="1:13">
      <c r="D202" s="105"/>
      <c r="E202" s="105"/>
      <c r="F202" s="105">
        <f>F201</f>
        <v>42280.458599999998</v>
      </c>
      <c r="G202" s="129">
        <f>G201</f>
        <v>0</v>
      </c>
      <c r="H202" s="105">
        <f>H201</f>
        <v>44394.481529999997</v>
      </c>
      <c r="I202" s="137">
        <f>I201</f>
        <v>0</v>
      </c>
      <c r="J202" s="74">
        <f>J201</f>
        <v>45282.3711606</v>
      </c>
      <c r="K202" s="74"/>
    </row>
    <row r="203" spans="1:13">
      <c r="D203" s="105"/>
      <c r="E203" s="105"/>
      <c r="F203" s="105"/>
      <c r="G203" s="129"/>
      <c r="H203" s="105"/>
      <c r="I203" s="137"/>
      <c r="J203" s="47"/>
      <c r="K203" s="47"/>
    </row>
    <row r="204" spans="1:13" s="1" customFormat="1">
      <c r="A204" s="1" t="s">
        <v>924</v>
      </c>
      <c r="D204" s="108"/>
      <c r="E204" s="108"/>
      <c r="F204" s="108"/>
      <c r="G204" s="132"/>
      <c r="H204" s="108"/>
      <c r="I204" s="139"/>
      <c r="J204" s="44"/>
      <c r="K204" s="44"/>
      <c r="L204" s="27"/>
      <c r="M204" s="44"/>
    </row>
    <row r="205" spans="1:13">
      <c r="A205" s="13">
        <v>262</v>
      </c>
      <c r="B205" s="13">
        <v>123</v>
      </c>
      <c r="C205" s="13" t="s">
        <v>187</v>
      </c>
      <c r="D205" s="104">
        <v>250000</v>
      </c>
      <c r="E205" s="104">
        <v>233003.96</v>
      </c>
      <c r="F205" s="104">
        <v>250000</v>
      </c>
      <c r="G205" s="128">
        <v>0</v>
      </c>
      <c r="H205" s="104">
        <v>100000</v>
      </c>
      <c r="I205" s="136">
        <v>0</v>
      </c>
      <c r="J205" s="80">
        <v>100000</v>
      </c>
      <c r="K205" s="40">
        <f>I205/7*12</f>
        <v>0</v>
      </c>
      <c r="L205" s="140">
        <f>+E205/8*12</f>
        <v>349505.94</v>
      </c>
    </row>
    <row r="206" spans="1:13">
      <c r="A206" s="13">
        <v>262</v>
      </c>
      <c r="B206" s="13">
        <v>175</v>
      </c>
      <c r="C206" s="13" t="s">
        <v>195</v>
      </c>
      <c r="D206" s="104">
        <v>1500</v>
      </c>
      <c r="E206" s="104">
        <v>6328.41</v>
      </c>
      <c r="F206" s="104">
        <v>10000</v>
      </c>
      <c r="G206" s="128">
        <v>12388.68</v>
      </c>
      <c r="H206" s="104">
        <v>24000</v>
      </c>
      <c r="I206" s="136">
        <v>12540.8</v>
      </c>
      <c r="J206" s="80">
        <v>0</v>
      </c>
      <c r="K206" s="40">
        <f>I206/7*12</f>
        <v>21498.514285714286</v>
      </c>
      <c r="L206" s="140">
        <f>+E206/8*12</f>
        <v>9492.6149999999998</v>
      </c>
    </row>
    <row r="207" spans="1:13">
      <c r="A207" s="13">
        <v>262</v>
      </c>
      <c r="B207" s="13">
        <v>195</v>
      </c>
      <c r="C207" s="13" t="s">
        <v>38</v>
      </c>
      <c r="D207" s="104">
        <v>6000</v>
      </c>
      <c r="E207" s="104">
        <v>3586.63</v>
      </c>
      <c r="F207" s="104">
        <v>5000</v>
      </c>
      <c r="G207" s="128">
        <v>35265.21</v>
      </c>
      <c r="H207" s="104">
        <v>57000</v>
      </c>
      <c r="I207" s="136">
        <v>35265.21</v>
      </c>
      <c r="J207" s="80">
        <v>0</v>
      </c>
      <c r="K207" s="40">
        <f>I207/7*12</f>
        <v>60454.645714285711</v>
      </c>
      <c r="L207" s="140">
        <f>+E207/8*12</f>
        <v>5379.9449999999997</v>
      </c>
    </row>
    <row r="208" spans="1:13">
      <c r="A208" s="13">
        <v>262</v>
      </c>
      <c r="B208" s="13">
        <v>213</v>
      </c>
      <c r="C208" s="13" t="s">
        <v>284</v>
      </c>
      <c r="D208" s="104">
        <v>60000</v>
      </c>
      <c r="E208" s="104">
        <v>0</v>
      </c>
      <c r="F208" s="104">
        <v>40000</v>
      </c>
      <c r="G208" s="128">
        <v>0</v>
      </c>
      <c r="H208" s="104">
        <v>100000</v>
      </c>
      <c r="I208" s="136">
        <v>0</v>
      </c>
      <c r="J208" s="80">
        <v>50000</v>
      </c>
      <c r="K208" s="40">
        <f>I208/7*12</f>
        <v>0</v>
      </c>
      <c r="L208" s="140">
        <f>+E208/8*12</f>
        <v>0</v>
      </c>
    </row>
    <row r="209" spans="1:13">
      <c r="A209" s="13">
        <v>262</v>
      </c>
      <c r="B209" s="13">
        <v>254</v>
      </c>
      <c r="C209" s="13" t="s">
        <v>285</v>
      </c>
      <c r="D209" s="104">
        <v>8000</v>
      </c>
      <c r="E209" s="104">
        <v>15898.89</v>
      </c>
      <c r="F209" s="104">
        <v>30000</v>
      </c>
      <c r="G209" s="128">
        <v>0</v>
      </c>
      <c r="H209" s="104">
        <v>30000</v>
      </c>
      <c r="I209" s="136">
        <v>0</v>
      </c>
      <c r="J209" s="80">
        <v>0</v>
      </c>
      <c r="K209" s="40">
        <f>I209/7*12</f>
        <v>0</v>
      </c>
      <c r="L209" s="140">
        <f>+E209/8*12</f>
        <v>23848.334999999999</v>
      </c>
    </row>
    <row r="210" spans="1:13">
      <c r="D210" s="105">
        <f t="shared" ref="D210:J210" si="38">SUM(D205:D209)</f>
        <v>325500</v>
      </c>
      <c r="E210" s="105">
        <f t="shared" si="38"/>
        <v>258817.89</v>
      </c>
      <c r="F210" s="105">
        <f t="shared" si="38"/>
        <v>335000</v>
      </c>
      <c r="G210" s="129">
        <f t="shared" si="38"/>
        <v>47653.89</v>
      </c>
      <c r="H210" s="105">
        <f t="shared" si="38"/>
        <v>311000</v>
      </c>
      <c r="I210" s="137">
        <f t="shared" si="38"/>
        <v>47806.009999999995</v>
      </c>
      <c r="J210" s="74">
        <f t="shared" si="38"/>
        <v>150000</v>
      </c>
      <c r="K210" s="74"/>
    </row>
    <row r="211" spans="1:13" s="1" customFormat="1">
      <c r="A211" s="1" t="s">
        <v>928</v>
      </c>
      <c r="D211" s="108"/>
      <c r="E211" s="108"/>
      <c r="F211" s="108"/>
      <c r="G211" s="132"/>
      <c r="H211" s="108"/>
      <c r="I211" s="139"/>
      <c r="J211" s="44"/>
      <c r="K211" s="44"/>
      <c r="L211" s="44"/>
      <c r="M211" s="44"/>
    </row>
    <row r="212" spans="1:13" s="71" customFormat="1">
      <c r="A212" s="86"/>
      <c r="B212" s="86"/>
      <c r="C212" s="86" t="s">
        <v>986</v>
      </c>
      <c r="D212" s="110"/>
      <c r="E212" s="110"/>
      <c r="F212" s="110">
        <v>5191287.21</v>
      </c>
      <c r="G212" s="142"/>
      <c r="H212" s="110">
        <f>CAPITAL!F82</f>
        <v>3017754.23</v>
      </c>
      <c r="I212" s="166"/>
      <c r="J212" s="87">
        <f>CAPITAL!G82</f>
        <v>3892266.73</v>
      </c>
      <c r="K212" s="73"/>
      <c r="L212" s="70"/>
      <c r="M212" s="70"/>
    </row>
    <row r="213" spans="1:13" s="1" customFormat="1">
      <c r="A213" s="17"/>
      <c r="B213" s="17"/>
      <c r="C213" s="17" t="s">
        <v>935</v>
      </c>
      <c r="D213" s="110"/>
      <c r="E213" s="110"/>
      <c r="F213" s="110">
        <v>800000</v>
      </c>
      <c r="G213" s="142"/>
      <c r="H213" s="110">
        <f>CAPITAL!F83</f>
        <v>950000</v>
      </c>
      <c r="I213" s="166"/>
      <c r="J213" s="31">
        <f>CAPITAL!G83</f>
        <v>0</v>
      </c>
      <c r="K213" s="41"/>
      <c r="L213" s="44"/>
      <c r="M213" s="44"/>
    </row>
    <row r="214" spans="1:13" s="1" customFormat="1">
      <c r="A214" s="17"/>
      <c r="B214" s="17"/>
      <c r="C214" s="13" t="s">
        <v>936</v>
      </c>
      <c r="D214" s="110"/>
      <c r="E214" s="110"/>
      <c r="F214" s="110">
        <v>100000</v>
      </c>
      <c r="G214" s="141">
        <v>0</v>
      </c>
      <c r="H214" s="109">
        <f>CAPITAL!F86</f>
        <v>40000</v>
      </c>
      <c r="I214" s="169"/>
      <c r="J214" s="143"/>
      <c r="K214" s="289"/>
      <c r="L214" s="44"/>
      <c r="M214" s="44"/>
    </row>
    <row r="215" spans="1:13">
      <c r="A215" s="13">
        <v>262</v>
      </c>
      <c r="B215" s="13">
        <v>446</v>
      </c>
      <c r="C215" s="13" t="s">
        <v>292</v>
      </c>
      <c r="D215" s="104">
        <v>2500000</v>
      </c>
      <c r="E215" s="104">
        <v>0</v>
      </c>
      <c r="F215" s="104">
        <v>0</v>
      </c>
      <c r="G215" s="128">
        <v>0</v>
      </c>
      <c r="H215" s="104"/>
      <c r="I215" s="136"/>
      <c r="J215" s="80"/>
      <c r="K215" s="40"/>
    </row>
    <row r="216" spans="1:13">
      <c r="A216" s="13">
        <v>262</v>
      </c>
      <c r="B216" s="13">
        <v>448</v>
      </c>
      <c r="C216" s="13" t="s">
        <v>294</v>
      </c>
      <c r="D216" s="104">
        <v>2500000</v>
      </c>
      <c r="E216" s="104">
        <v>0</v>
      </c>
      <c r="F216" s="104">
        <v>0</v>
      </c>
      <c r="G216" s="128"/>
      <c r="H216" s="104"/>
      <c r="I216" s="136"/>
      <c r="J216" s="80"/>
      <c r="K216" s="40"/>
    </row>
    <row r="217" spans="1:13">
      <c r="A217" s="42"/>
      <c r="B217" s="42"/>
      <c r="C217" s="17" t="s">
        <v>1142</v>
      </c>
      <c r="D217" s="110"/>
      <c r="E217" s="110"/>
      <c r="F217" s="110"/>
      <c r="G217" s="142"/>
      <c r="H217" s="110"/>
      <c r="I217" s="166"/>
      <c r="J217" s="31">
        <f>CAPITAL!G87</f>
        <v>3695524.71</v>
      </c>
      <c r="K217" s="40"/>
    </row>
    <row r="218" spans="1:13">
      <c r="A218" s="42"/>
      <c r="B218" s="42"/>
      <c r="C218" s="17" t="s">
        <v>1143</v>
      </c>
      <c r="D218" s="110"/>
      <c r="E218" s="110"/>
      <c r="F218" s="110"/>
      <c r="G218" s="142"/>
      <c r="H218" s="110"/>
      <c r="I218" s="166"/>
      <c r="J218" s="31">
        <f>CAPITAL!G88</f>
        <v>3822396.24</v>
      </c>
      <c r="K218" s="40"/>
    </row>
    <row r="219" spans="1:13">
      <c r="D219" s="105">
        <f t="shared" ref="D219:I219" si="39">SUM(D212:D218)</f>
        <v>5000000</v>
      </c>
      <c r="E219" s="105">
        <f t="shared" si="39"/>
        <v>0</v>
      </c>
      <c r="F219" s="105">
        <f t="shared" si="39"/>
        <v>6091287.21</v>
      </c>
      <c r="G219" s="105">
        <f t="shared" si="39"/>
        <v>0</v>
      </c>
      <c r="H219" s="105">
        <f t="shared" si="39"/>
        <v>4007754.23</v>
      </c>
      <c r="I219" s="137">
        <f t="shared" si="39"/>
        <v>0</v>
      </c>
      <c r="J219" s="74">
        <f>SUM(J212:J218)</f>
        <v>11410187.68</v>
      </c>
      <c r="K219" s="74"/>
    </row>
    <row r="220" spans="1:13">
      <c r="H220" s="102"/>
      <c r="I220" s="133"/>
    </row>
    <row r="221" spans="1:13" s="1" customFormat="1">
      <c r="A221" s="1" t="s">
        <v>923</v>
      </c>
      <c r="D221" s="108"/>
      <c r="E221" s="108"/>
      <c r="F221" s="108"/>
      <c r="G221" s="132"/>
      <c r="H221" s="108"/>
      <c r="I221" s="139"/>
      <c r="J221" s="44"/>
      <c r="K221" s="44"/>
      <c r="L221" s="44"/>
      <c r="M221" s="44"/>
    </row>
    <row r="222" spans="1:13" s="1" customFormat="1">
      <c r="A222" s="17"/>
      <c r="B222" s="17"/>
      <c r="C222" s="17" t="s">
        <v>147</v>
      </c>
      <c r="D222" s="110"/>
      <c r="E222" s="110"/>
      <c r="F222" s="110">
        <v>-5184323.2699999996</v>
      </c>
      <c r="G222" s="141">
        <v>0</v>
      </c>
      <c r="H222" s="109">
        <f>GRANTS!H16</f>
        <v>-5184323.2699999996</v>
      </c>
      <c r="I222" s="169">
        <v>0</v>
      </c>
      <c r="J222" s="143">
        <f>GRANTS!I16</f>
        <v>-11410187.68</v>
      </c>
      <c r="K222" s="289">
        <f>I222/7*12</f>
        <v>0</v>
      </c>
      <c r="L222" s="44"/>
      <c r="M222" s="44"/>
    </row>
    <row r="223" spans="1:13" s="306" customFormat="1">
      <c r="A223" s="301">
        <v>262</v>
      </c>
      <c r="B223" s="301">
        <v>8805</v>
      </c>
      <c r="C223" s="301" t="s">
        <v>296</v>
      </c>
      <c r="D223" s="302">
        <v>-60000</v>
      </c>
      <c r="E223" s="303">
        <v>11720.61</v>
      </c>
      <c r="F223" s="302">
        <v>0</v>
      </c>
      <c r="G223" s="302"/>
      <c r="H223" s="302"/>
      <c r="I223" s="302"/>
      <c r="J223" s="302">
        <v>0</v>
      </c>
      <c r="K223" s="289">
        <f t="shared" ref="K223:K230" si="40">I223/7*12</f>
        <v>0</v>
      </c>
      <c r="L223" s="304">
        <f>E229/8*12</f>
        <v>-508452.30000000005</v>
      </c>
      <c r="M223" s="305"/>
    </row>
    <row r="224" spans="1:13">
      <c r="A224" s="13">
        <v>262</v>
      </c>
      <c r="B224" s="13">
        <v>8807</v>
      </c>
      <c r="C224" s="13" t="s">
        <v>297</v>
      </c>
      <c r="D224" s="104">
        <v>-380000</v>
      </c>
      <c r="E224" s="104">
        <v>0</v>
      </c>
      <c r="F224" s="104">
        <f>M233-509000</f>
        <v>-509000</v>
      </c>
      <c r="G224" s="128">
        <v>0</v>
      </c>
      <c r="H224" s="104">
        <f>'OTHER REVENUE'!H12</f>
        <v>-509000</v>
      </c>
      <c r="I224" s="136">
        <v>0</v>
      </c>
      <c r="J224" s="80">
        <v>0</v>
      </c>
      <c r="K224" s="289">
        <f t="shared" si="40"/>
        <v>0</v>
      </c>
      <c r="L224" s="140">
        <f>L223*6/100+L223</f>
        <v>-538959.43800000008</v>
      </c>
    </row>
    <row r="225" spans="1:16">
      <c r="A225" s="13">
        <v>262</v>
      </c>
      <c r="B225" s="13">
        <v>8808</v>
      </c>
      <c r="C225" s="13" t="s">
        <v>230</v>
      </c>
      <c r="D225" s="104">
        <v>0</v>
      </c>
      <c r="E225" s="104">
        <v>-438.6</v>
      </c>
      <c r="F225" s="104">
        <v>-700</v>
      </c>
      <c r="G225" s="128">
        <v>-640.35</v>
      </c>
      <c r="H225" s="104">
        <f>'OTHER REVENUE'!H13</f>
        <v>-1400</v>
      </c>
      <c r="I225" s="136">
        <v>-815.79</v>
      </c>
      <c r="J225" s="80">
        <v>-1400</v>
      </c>
      <c r="K225" s="289">
        <f t="shared" si="40"/>
        <v>-1398.4971428571428</v>
      </c>
    </row>
    <row r="226" spans="1:16" s="35" customFormat="1" ht="15.75" thickBot="1">
      <c r="A226" s="79">
        <v>262</v>
      </c>
      <c r="B226" s="79">
        <v>8809</v>
      </c>
      <c r="C226" s="79" t="s">
        <v>300</v>
      </c>
      <c r="D226" s="104">
        <v>-5000000</v>
      </c>
      <c r="E226" s="104">
        <v>0</v>
      </c>
      <c r="F226" s="104">
        <v>0</v>
      </c>
      <c r="G226" s="128"/>
      <c r="H226" s="104">
        <f>GRANTS!H14</f>
        <v>0</v>
      </c>
      <c r="I226" s="136"/>
      <c r="J226" s="84">
        <v>0</v>
      </c>
      <c r="K226" s="289">
        <f t="shared" si="40"/>
        <v>0</v>
      </c>
      <c r="L226" s="38"/>
      <c r="M226" s="38"/>
    </row>
    <row r="227" spans="1:16" s="35" customFormat="1" ht="15.75" thickBot="1">
      <c r="A227" s="79">
        <v>262</v>
      </c>
      <c r="B227" s="79">
        <v>8860</v>
      </c>
      <c r="C227" s="79" t="s">
        <v>301</v>
      </c>
      <c r="D227" s="104">
        <v>-12000</v>
      </c>
      <c r="E227" s="104">
        <v>-3970.09</v>
      </c>
      <c r="F227" s="104">
        <v>0</v>
      </c>
      <c r="G227" s="128">
        <v>-6196.26</v>
      </c>
      <c r="H227" s="104">
        <f>'RENT REVENUE'!H7</f>
        <v>-12500</v>
      </c>
      <c r="I227" s="136">
        <v>-6196.26</v>
      </c>
      <c r="J227" s="84">
        <f>-10622.16+-637.33</f>
        <v>-11259.49</v>
      </c>
      <c r="K227" s="289">
        <f t="shared" si="40"/>
        <v>-10622.16</v>
      </c>
      <c r="L227" s="38"/>
      <c r="M227" s="61" t="s">
        <v>916</v>
      </c>
      <c r="N227" s="221" t="s">
        <v>1105</v>
      </c>
      <c r="O227" s="59" t="s">
        <v>1103</v>
      </c>
      <c r="P227" s="59" t="s">
        <v>1117</v>
      </c>
    </row>
    <row r="228" spans="1:16">
      <c r="A228" s="13">
        <v>262</v>
      </c>
      <c r="B228" s="13">
        <v>8875</v>
      </c>
      <c r="C228" s="13" t="s">
        <v>121</v>
      </c>
      <c r="D228" s="104">
        <v>-7030223.7999999998</v>
      </c>
      <c r="E228" s="104">
        <v>0</v>
      </c>
      <c r="F228" s="104">
        <f>GRANTS!G15</f>
        <v>-8883461.0799999982</v>
      </c>
      <c r="G228" s="128">
        <v>0</v>
      </c>
      <c r="H228" s="104">
        <f>GRANTS!H15</f>
        <v>-8883461.0799999982</v>
      </c>
      <c r="I228" s="136">
        <v>0</v>
      </c>
      <c r="J228" s="80">
        <f>GRANTS!I15</f>
        <v>-8883461.0799999982</v>
      </c>
      <c r="K228" s="289">
        <f t="shared" si="40"/>
        <v>0</v>
      </c>
      <c r="L228" s="44" t="s">
        <v>951</v>
      </c>
      <c r="M228" s="44">
        <f>D192+D210+D198+D219</f>
        <v>12461242.709999999</v>
      </c>
      <c r="N228" s="27">
        <f>F192+F198+F202+F210</f>
        <v>8201687.3508600006</v>
      </c>
      <c r="O228" s="27">
        <f>H192+H198+H202+H210</f>
        <v>8639644.4268281814</v>
      </c>
      <c r="P228" s="27">
        <f>J192+J198+J202+J210</f>
        <v>9118387.3131766729</v>
      </c>
    </row>
    <row r="229" spans="1:16">
      <c r="A229" s="13">
        <v>262</v>
      </c>
      <c r="B229" s="13">
        <v>8969</v>
      </c>
      <c r="C229" s="13" t="s">
        <v>303</v>
      </c>
      <c r="D229" s="104">
        <v>0</v>
      </c>
      <c r="E229" s="104">
        <v>-338968.2</v>
      </c>
      <c r="F229" s="104">
        <v>-538959.43999999994</v>
      </c>
      <c r="G229" s="128">
        <v>-271260.24</v>
      </c>
      <c r="H229" s="104">
        <f>'OTHER REVENUE'!H14</f>
        <v>-538959.43999999994</v>
      </c>
      <c r="I229" s="136">
        <v>-326810.02</v>
      </c>
      <c r="J229" s="80">
        <v>-565000</v>
      </c>
      <c r="K229" s="289">
        <f t="shared" si="40"/>
        <v>-560245.74857142859</v>
      </c>
      <c r="L229" s="44" t="s">
        <v>952</v>
      </c>
      <c r="M229" s="44">
        <f>D231</f>
        <v>-12492223.800000001</v>
      </c>
      <c r="N229" s="27">
        <f>F231-F222</f>
        <v>-9954120.5199999977</v>
      </c>
      <c r="O229" s="27">
        <f>H231-H222</f>
        <v>-9985320.5199999977</v>
      </c>
      <c r="P229" s="27">
        <f>J231-J222</f>
        <v>-9501120.5700000003</v>
      </c>
    </row>
    <row r="230" spans="1:16" ht="15.75" thickBot="1">
      <c r="A230" s="13">
        <v>262</v>
      </c>
      <c r="B230" s="13">
        <v>8999</v>
      </c>
      <c r="C230" s="13" t="s">
        <v>305</v>
      </c>
      <c r="D230" s="104">
        <v>-10000</v>
      </c>
      <c r="E230" s="104">
        <v>-14520.82</v>
      </c>
      <c r="F230" s="104">
        <v>-22000</v>
      </c>
      <c r="G230" s="128">
        <v>-19770.09</v>
      </c>
      <c r="H230" s="104">
        <f>'OTHER REVENUE'!H15</f>
        <v>-40000</v>
      </c>
      <c r="I230" s="136">
        <v>-22625.75</v>
      </c>
      <c r="J230" s="80">
        <v>-40000</v>
      </c>
      <c r="K230" s="289">
        <f t="shared" si="40"/>
        <v>-38787</v>
      </c>
      <c r="M230" s="50">
        <f>M228+M229</f>
        <v>-30981.090000001714</v>
      </c>
      <c r="N230" s="50">
        <f>N228+N229</f>
        <v>-1752433.1691399971</v>
      </c>
      <c r="O230" s="50">
        <f>O228+O229</f>
        <v>-1345676.0931718163</v>
      </c>
      <c r="P230" s="50">
        <f>P228+P229</f>
        <v>-382733.25682332739</v>
      </c>
    </row>
    <row r="231" spans="1:16" ht="15.75" thickTop="1">
      <c r="D231" s="105">
        <f>SUM(D223:D230)</f>
        <v>-12492223.800000001</v>
      </c>
      <c r="E231" s="105">
        <f>SUM(E223:E230)</f>
        <v>-346177.10000000003</v>
      </c>
      <c r="F231" s="105">
        <f>SUM(F222:F230)</f>
        <v>-15138443.789999997</v>
      </c>
      <c r="G231" s="129">
        <f>SUM(G222:G230)</f>
        <v>-297866.94</v>
      </c>
      <c r="H231" s="105">
        <f>SUM(H222:H230)</f>
        <v>-15169643.789999997</v>
      </c>
      <c r="I231" s="137">
        <f>SUM(I222:I230)</f>
        <v>-356447.82</v>
      </c>
      <c r="J231" s="74">
        <f>SUM(J222:J230)</f>
        <v>-20911308.25</v>
      </c>
      <c r="K231" s="74"/>
    </row>
    <row r="232" spans="1:16">
      <c r="H232" s="102"/>
      <c r="I232" s="133"/>
    </row>
    <row r="233" spans="1:16" s="1" customFormat="1">
      <c r="A233" s="1" t="s">
        <v>921</v>
      </c>
      <c r="D233" s="108"/>
      <c r="E233" s="108"/>
      <c r="F233" s="108"/>
      <c r="G233" s="132"/>
      <c r="H233" s="108"/>
      <c r="I233" s="139"/>
      <c r="J233" s="44"/>
      <c r="K233" s="44"/>
      <c r="L233" s="44"/>
      <c r="M233" s="44"/>
    </row>
    <row r="234" spans="1:16">
      <c r="A234" s="13">
        <v>268</v>
      </c>
      <c r="B234" s="13">
        <v>1</v>
      </c>
      <c r="C234" s="13" t="s">
        <v>16</v>
      </c>
      <c r="D234" s="104">
        <v>4385936.72</v>
      </c>
      <c r="E234" s="104">
        <v>3057357.36</v>
      </c>
      <c r="F234" s="104">
        <f>L234*5.8/100+L234</f>
        <v>4852026.1303199995</v>
      </c>
      <c r="G234" s="128">
        <v>2277456.2599999998</v>
      </c>
      <c r="H234" s="104">
        <v>4934510.5745354397</v>
      </c>
      <c r="I234" s="136">
        <v>2277456.2599999998</v>
      </c>
      <c r="J234" s="80">
        <f>SALARIES!J149</f>
        <v>5230581.2090075659</v>
      </c>
      <c r="K234" s="40"/>
      <c r="L234" s="140">
        <f t="shared" ref="L234:L244" si="41">+E234/8*12</f>
        <v>4586036.04</v>
      </c>
    </row>
    <row r="235" spans="1:16">
      <c r="A235" s="13">
        <v>268</v>
      </c>
      <c r="B235" s="13">
        <v>4</v>
      </c>
      <c r="C235" s="13" t="s">
        <v>58</v>
      </c>
      <c r="D235" s="104">
        <v>9412.94</v>
      </c>
      <c r="E235" s="104">
        <v>6637.99</v>
      </c>
      <c r="F235" s="104">
        <f t="shared" ref="F235:F244" si="42">L235*5.8/100+L235</f>
        <v>10534.49013</v>
      </c>
      <c r="G235" s="128">
        <v>5118.54</v>
      </c>
      <c r="H235" s="104">
        <v>10713.57646221</v>
      </c>
      <c r="I235" s="136">
        <v>5118.54</v>
      </c>
      <c r="J235" s="80">
        <f>SALARIES!J150</f>
        <v>11356.3910499426</v>
      </c>
      <c r="K235" s="40"/>
      <c r="L235" s="140">
        <f t="shared" si="41"/>
        <v>9956.9850000000006</v>
      </c>
    </row>
    <row r="236" spans="1:16">
      <c r="A236" s="13">
        <v>268</v>
      </c>
      <c r="B236" s="13">
        <v>6</v>
      </c>
      <c r="C236" s="13" t="s">
        <v>19</v>
      </c>
      <c r="D236" s="104">
        <v>172667.64</v>
      </c>
      <c r="E236" s="104">
        <v>123666.3</v>
      </c>
      <c r="F236" s="104">
        <v>160414.34</v>
      </c>
      <c r="G236" s="128">
        <v>89632.2</v>
      </c>
      <c r="H236" s="104">
        <v>163141.38184769999</v>
      </c>
      <c r="I236" s="136">
        <v>89632.2</v>
      </c>
      <c r="J236" s="80">
        <f>SALARIES!J151</f>
        <v>172929.86475856198</v>
      </c>
      <c r="K236" s="40"/>
      <c r="L236" s="140">
        <f t="shared" si="41"/>
        <v>185499.45</v>
      </c>
    </row>
    <row r="237" spans="1:16">
      <c r="A237" s="13">
        <v>268</v>
      </c>
      <c r="B237" s="13">
        <v>8</v>
      </c>
      <c r="C237" s="13" t="s">
        <v>173</v>
      </c>
      <c r="D237" s="104">
        <v>296869.53999999998</v>
      </c>
      <c r="E237" s="104">
        <v>288835.89</v>
      </c>
      <c r="F237" s="104">
        <v>258382.56</v>
      </c>
      <c r="G237" s="128">
        <v>368358.48</v>
      </c>
      <c r="H237" s="104">
        <v>262775.06090631004</v>
      </c>
      <c r="I237" s="136">
        <v>368358.48</v>
      </c>
      <c r="J237" s="80">
        <f>SALARIES!J152</f>
        <v>278541.56456068862</v>
      </c>
      <c r="K237" s="40"/>
      <c r="L237" s="140">
        <f t="shared" si="41"/>
        <v>433253.83500000002</v>
      </c>
    </row>
    <row r="238" spans="1:16">
      <c r="A238" s="13">
        <v>268</v>
      </c>
      <c r="B238" s="13">
        <v>10</v>
      </c>
      <c r="C238" s="13" t="s">
        <v>22</v>
      </c>
      <c r="D238" s="104">
        <v>867855.88</v>
      </c>
      <c r="E238" s="104">
        <v>610094.09</v>
      </c>
      <c r="F238" s="104">
        <f t="shared" si="42"/>
        <v>968219.32082999998</v>
      </c>
      <c r="G238" s="128">
        <v>462459.73</v>
      </c>
      <c r="H238" s="104">
        <v>984679.04928410996</v>
      </c>
      <c r="I238" s="136">
        <v>462459.73</v>
      </c>
      <c r="J238" s="80">
        <f>SALARIES!J153</f>
        <v>1043759.7922411566</v>
      </c>
      <c r="K238" s="40"/>
      <c r="L238" s="140">
        <f t="shared" si="41"/>
        <v>915141.13500000001</v>
      </c>
    </row>
    <row r="239" spans="1:16">
      <c r="A239" s="13">
        <v>268</v>
      </c>
      <c r="B239" s="13">
        <v>11</v>
      </c>
      <c r="C239" s="13" t="s">
        <v>24</v>
      </c>
      <c r="D239" s="104">
        <v>5214.5</v>
      </c>
      <c r="E239" s="104">
        <v>0</v>
      </c>
      <c r="F239" s="104">
        <f t="shared" si="42"/>
        <v>0</v>
      </c>
      <c r="G239" s="128"/>
      <c r="H239" s="104">
        <v>0</v>
      </c>
      <c r="I239" s="136"/>
      <c r="J239" s="80">
        <f>SALARIES!J154</f>
        <v>0</v>
      </c>
      <c r="K239" s="40"/>
      <c r="L239" s="140">
        <f t="shared" si="41"/>
        <v>0</v>
      </c>
    </row>
    <row r="240" spans="1:16">
      <c r="A240" s="13">
        <v>268</v>
      </c>
      <c r="B240" s="13">
        <v>13</v>
      </c>
      <c r="C240" s="13" t="s">
        <v>273</v>
      </c>
      <c r="D240" s="104">
        <v>12401.58</v>
      </c>
      <c r="E240" s="104">
        <v>13872.37</v>
      </c>
      <c r="F240" s="104">
        <f t="shared" si="42"/>
        <v>22015.45119</v>
      </c>
      <c r="G240" s="128">
        <v>18733.39</v>
      </c>
      <c r="H240" s="104">
        <v>22389.71386023</v>
      </c>
      <c r="I240" s="136">
        <v>18733.39</v>
      </c>
      <c r="J240" s="80">
        <f>SALARIES!J155</f>
        <v>23733.096691843799</v>
      </c>
      <c r="K240" s="40"/>
      <c r="L240" s="140">
        <f t="shared" si="41"/>
        <v>20808.555</v>
      </c>
    </row>
    <row r="241" spans="1:13">
      <c r="A241" s="13">
        <v>268</v>
      </c>
      <c r="B241" s="13">
        <v>16</v>
      </c>
      <c r="C241" s="13" t="s">
        <v>27</v>
      </c>
      <c r="D241" s="104">
        <v>51079.6</v>
      </c>
      <c r="E241" s="104">
        <v>36329.129999999997</v>
      </c>
      <c r="F241" s="104">
        <f t="shared" si="42"/>
        <v>57654.329309999994</v>
      </c>
      <c r="G241" s="128">
        <v>28737.08</v>
      </c>
      <c r="H241" s="104">
        <v>58634.452908269996</v>
      </c>
      <c r="I241" s="136">
        <v>28737.08</v>
      </c>
      <c r="J241" s="80">
        <f>SALARIES!J156</f>
        <v>62152.520082766197</v>
      </c>
      <c r="K241" s="40"/>
      <c r="L241" s="140">
        <f t="shared" si="41"/>
        <v>54493.694999999992</v>
      </c>
    </row>
    <row r="242" spans="1:13">
      <c r="A242" s="13">
        <v>268</v>
      </c>
      <c r="B242" s="13">
        <v>18</v>
      </c>
      <c r="C242" s="13" t="s">
        <v>31</v>
      </c>
      <c r="D242" s="104">
        <v>255971.82</v>
      </c>
      <c r="E242" s="104">
        <v>154050.23000000001</v>
      </c>
      <c r="F242" s="104">
        <f t="shared" si="42"/>
        <v>244477.71501000004</v>
      </c>
      <c r="G242" s="128">
        <v>121186.76</v>
      </c>
      <c r="H242" s="104">
        <v>248633.83616517004</v>
      </c>
      <c r="I242" s="136">
        <v>121186.76</v>
      </c>
      <c r="J242" s="80">
        <f>SALARIES!J157</f>
        <v>263551.86633508024</v>
      </c>
      <c r="K242" s="40"/>
      <c r="L242" s="140">
        <f t="shared" si="41"/>
        <v>231075.34500000003</v>
      </c>
    </row>
    <row r="243" spans="1:13">
      <c r="A243" s="13">
        <v>268</v>
      </c>
      <c r="B243" s="13">
        <v>102</v>
      </c>
      <c r="C243" s="13" t="s">
        <v>66</v>
      </c>
      <c r="D243" s="104">
        <v>48243.199999999997</v>
      </c>
      <c r="E243" s="104">
        <v>34257.129999999997</v>
      </c>
      <c r="F243" s="104">
        <f t="shared" si="42"/>
        <v>54366.065309999991</v>
      </c>
      <c r="G243" s="128">
        <v>27101.9</v>
      </c>
      <c r="H243" s="104">
        <v>55290.288420269993</v>
      </c>
      <c r="I243" s="136">
        <v>27101.9</v>
      </c>
      <c r="J243" s="80">
        <f>SALARIES!J158</f>
        <v>58607.705725486194</v>
      </c>
      <c r="K243" s="40"/>
      <c r="L243" s="140">
        <f t="shared" si="41"/>
        <v>51385.694999999992</v>
      </c>
    </row>
    <row r="244" spans="1:13">
      <c r="A244" s="13">
        <v>268</v>
      </c>
      <c r="B244" s="13">
        <v>104</v>
      </c>
      <c r="C244" s="13" t="s">
        <v>34</v>
      </c>
      <c r="D244" s="104">
        <v>4610.3999999999996</v>
      </c>
      <c r="E244" s="104">
        <v>3240.84</v>
      </c>
      <c r="F244" s="104">
        <f t="shared" si="42"/>
        <v>5143.2130800000004</v>
      </c>
      <c r="G244" s="128">
        <v>2392.5</v>
      </c>
      <c r="H244" s="104">
        <v>5230.64770236</v>
      </c>
      <c r="I244" s="136">
        <v>2392.5</v>
      </c>
      <c r="J244" s="80">
        <f>SALARIES!J159</f>
        <v>5544.4865645015998</v>
      </c>
      <c r="K244" s="40"/>
      <c r="L244" s="140">
        <f t="shared" si="41"/>
        <v>4861.26</v>
      </c>
    </row>
    <row r="245" spans="1:13">
      <c r="D245" s="105">
        <f t="shared" ref="D245:J245" si="43">SUM(D234:D244)</f>
        <v>6110263.8200000003</v>
      </c>
      <c r="E245" s="105">
        <f t="shared" si="43"/>
        <v>4328341.33</v>
      </c>
      <c r="F245" s="105">
        <f t="shared" si="43"/>
        <v>6633233.6151799997</v>
      </c>
      <c r="G245" s="129">
        <f t="shared" si="43"/>
        <v>3401176.84</v>
      </c>
      <c r="H245" s="105">
        <f t="shared" si="43"/>
        <v>6745998.5820920691</v>
      </c>
      <c r="I245" s="137">
        <f t="shared" si="43"/>
        <v>3401176.84</v>
      </c>
      <c r="J245" s="74">
        <f t="shared" si="43"/>
        <v>7150758.4970175941</v>
      </c>
      <c r="K245" s="74"/>
    </row>
    <row r="246" spans="1:13">
      <c r="H246" s="102"/>
      <c r="I246" s="133"/>
    </row>
    <row r="247" spans="1:13" s="1" customFormat="1">
      <c r="A247" s="1" t="s">
        <v>1017</v>
      </c>
      <c r="D247" s="108"/>
      <c r="E247" s="108"/>
      <c r="F247" s="108"/>
      <c r="G247" s="132"/>
      <c r="H247" s="108"/>
      <c r="I247" s="139"/>
      <c r="J247" s="44"/>
      <c r="K247" s="44"/>
      <c r="L247" s="44"/>
      <c r="M247" s="44"/>
    </row>
    <row r="248" spans="1:13">
      <c r="A248" s="13">
        <v>268</v>
      </c>
      <c r="B248" s="13">
        <v>117</v>
      </c>
      <c r="C248" s="13" t="s">
        <v>338</v>
      </c>
      <c r="D248" s="104">
        <v>9739500</v>
      </c>
      <c r="E248" s="104">
        <v>14470822.92</v>
      </c>
      <c r="F248" s="104">
        <v>6087525</v>
      </c>
      <c r="G248" s="128">
        <v>3025482.16</v>
      </c>
      <c r="H248" s="104">
        <f>'NON CASH'!H25</f>
        <v>6087525</v>
      </c>
      <c r="I248" s="136">
        <v>3021704.32</v>
      </c>
      <c r="J248" s="84">
        <f>5841181.19+636369.65</f>
        <v>6477550.8400000008</v>
      </c>
      <c r="K248" s="91"/>
    </row>
    <row r="249" spans="1:13" s="42" customFormat="1">
      <c r="D249" s="106"/>
      <c r="E249" s="106"/>
      <c r="F249" s="107">
        <f>F248</f>
        <v>6087525</v>
      </c>
      <c r="G249" s="131">
        <f>G248</f>
        <v>3025482.16</v>
      </c>
      <c r="H249" s="107">
        <f>H248</f>
        <v>6087525</v>
      </c>
      <c r="I249" s="138">
        <f>I248</f>
        <v>3021704.32</v>
      </c>
      <c r="J249" s="92">
        <f>J248</f>
        <v>6477550.8400000008</v>
      </c>
      <c r="K249" s="92"/>
      <c r="L249" s="40"/>
      <c r="M249" s="40"/>
    </row>
    <row r="250" spans="1:13" s="42" customFormat="1">
      <c r="D250" s="106"/>
      <c r="E250" s="106"/>
      <c r="F250" s="106"/>
      <c r="G250" s="130"/>
      <c r="H250" s="106"/>
      <c r="I250" s="171"/>
      <c r="J250" s="91"/>
      <c r="K250" s="91"/>
      <c r="L250" s="40"/>
      <c r="M250" s="40"/>
    </row>
    <row r="251" spans="1:13" s="42" customFormat="1">
      <c r="A251" s="39" t="s">
        <v>44</v>
      </c>
      <c r="D251" s="106"/>
      <c r="E251" s="106"/>
      <c r="F251" s="106"/>
      <c r="G251" s="130"/>
      <c r="H251" s="106"/>
      <c r="I251" s="171"/>
      <c r="J251" s="91"/>
      <c r="K251" s="91"/>
      <c r="L251" s="40"/>
      <c r="M251" s="40"/>
    </row>
    <row r="252" spans="1:13">
      <c r="A252" s="13">
        <v>268</v>
      </c>
      <c r="B252" s="13">
        <v>210</v>
      </c>
      <c r="C252" s="13" t="s">
        <v>44</v>
      </c>
      <c r="D252" s="104">
        <v>1442552.24</v>
      </c>
      <c r="E252" s="104">
        <v>0</v>
      </c>
      <c r="F252" s="109">
        <v>1471403.28</v>
      </c>
      <c r="G252" s="141">
        <v>0</v>
      </c>
      <c r="H252" s="109">
        <f>'NON CASH'!H12</f>
        <v>1544973.4490400001</v>
      </c>
      <c r="I252" s="169"/>
      <c r="J252" s="82">
        <f>'NON CASH'!I12</f>
        <v>1575872.9180208</v>
      </c>
      <c r="K252" s="288"/>
      <c r="L252" s="140">
        <f>+E252/8*12</f>
        <v>0</v>
      </c>
    </row>
    <row r="253" spans="1:13" s="42" customFormat="1">
      <c r="D253" s="106"/>
      <c r="E253" s="106"/>
      <c r="F253" s="107">
        <f>F252</f>
        <v>1471403.28</v>
      </c>
      <c r="G253" s="131">
        <f>G252</f>
        <v>0</v>
      </c>
      <c r="H253" s="107">
        <f>H252</f>
        <v>1544973.4490400001</v>
      </c>
      <c r="I253" s="138">
        <f>I252</f>
        <v>0</v>
      </c>
      <c r="J253" s="92">
        <f>J252</f>
        <v>1575872.9180208</v>
      </c>
      <c r="K253" s="92"/>
      <c r="L253" s="40"/>
      <c r="M253" s="40"/>
    </row>
    <row r="254" spans="1:13" s="39" customFormat="1">
      <c r="A254" s="39" t="s">
        <v>1029</v>
      </c>
      <c r="D254" s="103"/>
      <c r="E254" s="103"/>
      <c r="F254" s="103"/>
      <c r="G254" s="127"/>
      <c r="H254" s="103"/>
      <c r="I254" s="135"/>
      <c r="J254" s="100"/>
      <c r="K254" s="100"/>
      <c r="L254" s="41"/>
      <c r="M254" s="41"/>
    </row>
    <row r="255" spans="1:13">
      <c r="A255" s="13">
        <v>268</v>
      </c>
      <c r="B255" s="13">
        <v>256</v>
      </c>
      <c r="C255" s="13" t="s">
        <v>350</v>
      </c>
      <c r="D255" s="104">
        <v>8580600</v>
      </c>
      <c r="E255" s="104">
        <v>4887629.16</v>
      </c>
      <c r="F255" s="104">
        <v>9419663</v>
      </c>
      <c r="G255" s="128">
        <v>2190490.56</v>
      </c>
      <c r="H255" s="104">
        <f>'FREE BASIC CHARGE'!H3</f>
        <v>4380981</v>
      </c>
      <c r="I255" s="136">
        <v>2737844.56</v>
      </c>
      <c r="J255" s="84">
        <v>4693447.81714286</v>
      </c>
      <c r="K255" s="91">
        <f>K285</f>
        <v>-5841181.1871428564</v>
      </c>
      <c r="L255" s="140">
        <f>+E255/8*12</f>
        <v>7331443.7400000002</v>
      </c>
    </row>
    <row r="256" spans="1:13" s="42" customFormat="1">
      <c r="D256" s="106"/>
      <c r="E256" s="106"/>
      <c r="F256" s="107">
        <f>F255</f>
        <v>9419663</v>
      </c>
      <c r="G256" s="131">
        <f>G255</f>
        <v>2190490.56</v>
      </c>
      <c r="H256" s="107">
        <f>H255</f>
        <v>4380981</v>
      </c>
      <c r="I256" s="138">
        <f>I255</f>
        <v>2737844.56</v>
      </c>
      <c r="J256" s="92">
        <f>J255</f>
        <v>4693447.81714286</v>
      </c>
      <c r="K256" s="92"/>
      <c r="L256" s="40"/>
      <c r="M256" s="40"/>
    </row>
    <row r="257" spans="1:15" s="42" customFormat="1">
      <c r="D257" s="106"/>
      <c r="E257" s="106"/>
      <c r="F257" s="107"/>
      <c r="G257" s="131"/>
      <c r="H257" s="107"/>
      <c r="I257" s="138"/>
      <c r="J257" s="99"/>
      <c r="K257" s="99"/>
      <c r="L257" s="40"/>
      <c r="M257" s="40"/>
    </row>
    <row r="258" spans="1:15" s="1" customFormat="1">
      <c r="A258" s="1" t="s">
        <v>927</v>
      </c>
      <c r="D258" s="108"/>
      <c r="E258" s="108"/>
      <c r="F258" s="108"/>
      <c r="G258" s="132"/>
      <c r="H258" s="108"/>
      <c r="I258" s="139"/>
      <c r="J258" s="44"/>
      <c r="K258" s="44"/>
      <c r="L258" s="44"/>
      <c r="M258" s="44"/>
    </row>
    <row r="259" spans="1:15">
      <c r="A259" s="13">
        <v>268</v>
      </c>
      <c r="B259" s="13">
        <v>278</v>
      </c>
      <c r="C259" s="13" t="s">
        <v>218</v>
      </c>
      <c r="D259" s="104">
        <v>5000</v>
      </c>
      <c r="E259" s="104">
        <v>1413.3</v>
      </c>
      <c r="F259" s="104">
        <v>5000</v>
      </c>
      <c r="G259" s="128">
        <v>0</v>
      </c>
      <c r="H259" s="104">
        <f>RME!H16</f>
        <v>0</v>
      </c>
      <c r="I259" s="136">
        <v>0</v>
      </c>
      <c r="J259" s="80">
        <v>0</v>
      </c>
      <c r="K259" s="40">
        <f>I259/7*12</f>
        <v>0</v>
      </c>
      <c r="L259" s="140">
        <f>+E259/8*12</f>
        <v>2119.9499999999998</v>
      </c>
    </row>
    <row r="260" spans="1:15">
      <c r="A260" s="13">
        <v>268</v>
      </c>
      <c r="B260" s="13">
        <v>284</v>
      </c>
      <c r="C260" s="13" t="s">
        <v>221</v>
      </c>
      <c r="D260" s="104">
        <v>335000</v>
      </c>
      <c r="E260" s="104">
        <v>163846.13</v>
      </c>
      <c r="F260" s="104">
        <v>160000</v>
      </c>
      <c r="G260" s="128">
        <v>135546.84</v>
      </c>
      <c r="H260" s="104">
        <f>RME!H17</f>
        <v>280000</v>
      </c>
      <c r="I260" s="136">
        <v>135615.26</v>
      </c>
      <c r="J260" s="80">
        <v>300000</v>
      </c>
      <c r="K260" s="40">
        <f>I260/7*12</f>
        <v>232483.30285714287</v>
      </c>
      <c r="L260" s="140">
        <f>+E260/8*12</f>
        <v>245769.19500000001</v>
      </c>
    </row>
    <row r="261" spans="1:15" s="42" customFormat="1">
      <c r="D261" s="107">
        <f t="shared" ref="D261:J261" si="44">SUM(D259:D260)</f>
        <v>340000</v>
      </c>
      <c r="E261" s="107">
        <f t="shared" si="44"/>
        <v>165259.43</v>
      </c>
      <c r="F261" s="107">
        <f t="shared" si="44"/>
        <v>165000</v>
      </c>
      <c r="G261" s="131">
        <f t="shared" si="44"/>
        <v>135546.84</v>
      </c>
      <c r="H261" s="107">
        <f t="shared" si="44"/>
        <v>280000</v>
      </c>
      <c r="I261" s="138">
        <f t="shared" si="44"/>
        <v>135615.26</v>
      </c>
      <c r="J261" s="92">
        <f t="shared" si="44"/>
        <v>300000</v>
      </c>
      <c r="K261" s="92"/>
      <c r="L261" s="146">
        <f>+E261/8*12</f>
        <v>247889.14499999999</v>
      </c>
      <c r="M261" s="40"/>
      <c r="N261" s="40"/>
    </row>
    <row r="262" spans="1:15" s="42" customFormat="1">
      <c r="D262" s="106"/>
      <c r="E262" s="106"/>
      <c r="F262" s="107"/>
      <c r="G262" s="131"/>
      <c r="H262" s="107"/>
      <c r="I262" s="138"/>
      <c r="J262" s="99"/>
      <c r="K262" s="99"/>
      <c r="L262" s="40"/>
      <c r="M262" s="40"/>
    </row>
    <row r="263" spans="1:15" s="42" customFormat="1">
      <c r="A263" s="39" t="s">
        <v>924</v>
      </c>
      <c r="D263" s="106"/>
      <c r="E263" s="106"/>
      <c r="F263" s="106"/>
      <c r="G263" s="130"/>
      <c r="H263" s="106"/>
      <c r="I263" s="171"/>
      <c r="J263" s="91"/>
      <c r="K263" s="91"/>
      <c r="L263" s="40"/>
      <c r="M263" s="40"/>
    </row>
    <row r="264" spans="1:15">
      <c r="A264" s="13">
        <v>268</v>
      </c>
      <c r="B264" s="13">
        <v>123</v>
      </c>
      <c r="C264" s="13" t="s">
        <v>187</v>
      </c>
      <c r="D264" s="104">
        <v>710800</v>
      </c>
      <c r="E264" s="104">
        <v>289411.07</v>
      </c>
      <c r="F264" s="104">
        <v>243000</v>
      </c>
      <c r="G264" s="128">
        <v>35838.769999999997</v>
      </c>
      <c r="H264" s="104">
        <v>100000</v>
      </c>
      <c r="I264" s="136">
        <v>35838.769999999997</v>
      </c>
      <c r="J264" s="80">
        <v>100000</v>
      </c>
      <c r="K264" s="40">
        <f>I264/7*12</f>
        <v>61437.89142857142</v>
      </c>
      <c r="L264" s="140">
        <f t="shared" ref="L264:L274" si="45">+E264/8*12</f>
        <v>434116.60499999998</v>
      </c>
    </row>
    <row r="265" spans="1:15">
      <c r="A265" s="13">
        <v>268</v>
      </c>
      <c r="B265" s="13">
        <v>135</v>
      </c>
      <c r="C265" s="13" t="s">
        <v>341</v>
      </c>
      <c r="D265" s="104">
        <v>130000</v>
      </c>
      <c r="E265" s="104">
        <v>124307.98</v>
      </c>
      <c r="F265" s="104">
        <v>198000</v>
      </c>
      <c r="G265" s="128">
        <v>116724.08</v>
      </c>
      <c r="H265" s="104">
        <v>220000</v>
      </c>
      <c r="I265" s="136">
        <v>135931.84</v>
      </c>
      <c r="J265" s="98">
        <v>233026</v>
      </c>
      <c r="K265" s="40">
        <f t="shared" ref="K265:K274" si="46">I265/7*12</f>
        <v>233026.01142857142</v>
      </c>
      <c r="L265" s="140">
        <f t="shared" si="45"/>
        <v>186461.97</v>
      </c>
      <c r="N265" s="140">
        <f>L265*6/100+L265</f>
        <v>197649.6882</v>
      </c>
    </row>
    <row r="266" spans="1:15">
      <c r="A266" s="13">
        <v>268</v>
      </c>
      <c r="B266" s="13">
        <v>175</v>
      </c>
      <c r="C266" s="13" t="s">
        <v>342</v>
      </c>
      <c r="D266" s="104">
        <v>1000</v>
      </c>
      <c r="E266" s="104">
        <v>988.69</v>
      </c>
      <c r="F266" s="104">
        <v>1483</v>
      </c>
      <c r="G266" s="128">
        <v>658.9</v>
      </c>
      <c r="H266" s="104">
        <v>1483</v>
      </c>
      <c r="I266" s="136">
        <v>658.9</v>
      </c>
      <c r="J266" s="80">
        <v>0</v>
      </c>
      <c r="K266" s="40">
        <f t="shared" si="46"/>
        <v>1129.542857142857</v>
      </c>
      <c r="L266" s="140">
        <f t="shared" si="45"/>
        <v>1483.0350000000001</v>
      </c>
    </row>
    <row r="267" spans="1:15">
      <c r="A267" s="13">
        <v>268</v>
      </c>
      <c r="B267" s="13">
        <v>195</v>
      </c>
      <c r="C267" s="13" t="s">
        <v>38</v>
      </c>
      <c r="D267" s="104">
        <v>10000</v>
      </c>
      <c r="E267" s="104">
        <v>6067.8</v>
      </c>
      <c r="F267" s="104">
        <v>10000</v>
      </c>
      <c r="G267" s="128">
        <v>10000</v>
      </c>
      <c r="H267" s="104">
        <v>40000</v>
      </c>
      <c r="I267" s="136">
        <v>367.2</v>
      </c>
      <c r="J267" s="80">
        <v>30000</v>
      </c>
      <c r="K267" s="40">
        <f t="shared" si="46"/>
        <v>629.48571428571427</v>
      </c>
      <c r="L267" s="140">
        <f t="shared" si="45"/>
        <v>9101.7000000000007</v>
      </c>
    </row>
    <row r="268" spans="1:15">
      <c r="A268" s="13">
        <v>268</v>
      </c>
      <c r="B268" s="13">
        <v>196</v>
      </c>
      <c r="C268" s="13" t="s">
        <v>344</v>
      </c>
      <c r="D268" s="104">
        <v>504501</v>
      </c>
      <c r="E268" s="104">
        <v>504501</v>
      </c>
      <c r="F268" s="104">
        <v>200000</v>
      </c>
      <c r="G268" s="128">
        <v>252770.38</v>
      </c>
      <c r="H268" s="104">
        <v>400000</v>
      </c>
      <c r="I268" s="136">
        <v>252770.38</v>
      </c>
      <c r="J268" s="80">
        <v>300000</v>
      </c>
      <c r="K268" s="40">
        <f t="shared" si="46"/>
        <v>433320.65142857144</v>
      </c>
      <c r="L268" s="140">
        <f t="shared" si="45"/>
        <v>756751.5</v>
      </c>
    </row>
    <row r="269" spans="1:15">
      <c r="A269" s="13">
        <v>268</v>
      </c>
      <c r="B269" s="13">
        <v>249</v>
      </c>
      <c r="C269" s="13" t="s">
        <v>345</v>
      </c>
      <c r="D269" s="104">
        <v>288393</v>
      </c>
      <c r="E269" s="104">
        <v>0</v>
      </c>
      <c r="F269" s="104">
        <v>364000</v>
      </c>
      <c r="G269" s="128">
        <v>0</v>
      </c>
      <c r="H269" s="104">
        <v>150000</v>
      </c>
      <c r="I269" s="136">
        <v>0</v>
      </c>
      <c r="J269" s="80">
        <v>100000</v>
      </c>
      <c r="K269" s="40">
        <f t="shared" si="46"/>
        <v>0</v>
      </c>
      <c r="L269" s="140">
        <f t="shared" si="45"/>
        <v>0</v>
      </c>
      <c r="N269" s="145" t="s">
        <v>932</v>
      </c>
    </row>
    <row r="270" spans="1:15">
      <c r="A270" s="13">
        <v>268</v>
      </c>
      <c r="B270" s="13">
        <v>251</v>
      </c>
      <c r="C270" s="13" t="s">
        <v>347</v>
      </c>
      <c r="D270" s="104">
        <v>140000</v>
      </c>
      <c r="E270" s="104">
        <v>65359.43</v>
      </c>
      <c r="F270" s="104">
        <v>80000</v>
      </c>
      <c r="G270" s="128">
        <v>7400</v>
      </c>
      <c r="H270" s="104">
        <v>40000</v>
      </c>
      <c r="I270" s="136">
        <v>7400</v>
      </c>
      <c r="J270" s="80">
        <v>40000</v>
      </c>
      <c r="K270" s="40">
        <f t="shared" si="46"/>
        <v>12685.714285714286</v>
      </c>
      <c r="L270" s="140">
        <f t="shared" si="45"/>
        <v>98039.145000000004</v>
      </c>
    </row>
    <row r="271" spans="1:15">
      <c r="A271" s="13">
        <v>268</v>
      </c>
      <c r="B271" s="13">
        <v>254</v>
      </c>
      <c r="C271" s="13" t="s">
        <v>349</v>
      </c>
      <c r="D271" s="104">
        <v>500000</v>
      </c>
      <c r="E271" s="104">
        <v>43200</v>
      </c>
      <c r="F271" s="104">
        <v>0</v>
      </c>
      <c r="G271" s="128">
        <v>535304</v>
      </c>
      <c r="H271" s="104">
        <v>750000</v>
      </c>
      <c r="I271" s="136">
        <v>535304</v>
      </c>
      <c r="J271" s="80">
        <f>1700000-673642.99</f>
        <v>1026357.01</v>
      </c>
      <c r="K271" s="40">
        <f t="shared" si="46"/>
        <v>917664</v>
      </c>
      <c r="L271" s="140">
        <f t="shared" si="45"/>
        <v>64800</v>
      </c>
      <c r="O271" s="140">
        <f>142500*12</f>
        <v>1710000</v>
      </c>
    </row>
    <row r="272" spans="1:15">
      <c r="A272" s="13">
        <v>268</v>
      </c>
      <c r="B272" s="13">
        <v>262</v>
      </c>
      <c r="C272" s="13" t="s">
        <v>212</v>
      </c>
      <c r="D272" s="104">
        <v>35000</v>
      </c>
      <c r="E272" s="104">
        <v>19000</v>
      </c>
      <c r="F272" s="104">
        <v>0</v>
      </c>
      <c r="G272" s="128"/>
      <c r="H272" s="104">
        <v>0</v>
      </c>
      <c r="I272" s="136"/>
      <c r="J272" s="80">
        <v>0</v>
      </c>
      <c r="K272" s="40">
        <f t="shared" si="46"/>
        <v>0</v>
      </c>
      <c r="L272" s="140">
        <f t="shared" si="45"/>
        <v>28500</v>
      </c>
    </row>
    <row r="273" spans="1:16">
      <c r="A273" s="13">
        <v>268</v>
      </c>
      <c r="B273" s="13">
        <v>297</v>
      </c>
      <c r="C273" s="13" t="s">
        <v>355</v>
      </c>
      <c r="D273" s="104">
        <v>403213.96</v>
      </c>
      <c r="E273" s="104">
        <v>60000</v>
      </c>
      <c r="F273" s="104">
        <v>1000000</v>
      </c>
      <c r="G273" s="128">
        <v>32400</v>
      </c>
      <c r="H273" s="104">
        <v>890000</v>
      </c>
      <c r="I273" s="136">
        <v>104196</v>
      </c>
      <c r="J273" s="80">
        <f>500000-200000</f>
        <v>300000</v>
      </c>
      <c r="K273" s="40">
        <f t="shared" si="46"/>
        <v>178621.71428571429</v>
      </c>
      <c r="L273" s="140">
        <f t="shared" si="45"/>
        <v>90000</v>
      </c>
    </row>
    <row r="274" spans="1:16">
      <c r="A274" s="13">
        <v>268</v>
      </c>
      <c r="B274" s="13">
        <v>461</v>
      </c>
      <c r="C274" s="13" t="s">
        <v>357</v>
      </c>
      <c r="D274" s="104">
        <v>40000</v>
      </c>
      <c r="E274" s="104">
        <v>2470</v>
      </c>
      <c r="F274" s="104">
        <f>5000+300000</f>
        <v>305000</v>
      </c>
      <c r="G274" s="128">
        <v>75642.39</v>
      </c>
      <c r="H274" s="104">
        <v>250000</v>
      </c>
      <c r="I274" s="136">
        <v>105642.39</v>
      </c>
      <c r="J274" s="98"/>
      <c r="K274" s="40">
        <f t="shared" si="46"/>
        <v>181101.24</v>
      </c>
      <c r="L274" s="140">
        <f t="shared" si="45"/>
        <v>3705</v>
      </c>
    </row>
    <row r="275" spans="1:16">
      <c r="D275" s="105">
        <f>SUM(D248:D274)</f>
        <v>23205560.200000003</v>
      </c>
      <c r="E275" s="105">
        <f>SUM(E248:E272)</f>
        <v>20741806.91</v>
      </c>
      <c r="F275" s="105">
        <f>SUM(F264:F274)</f>
        <v>2401483</v>
      </c>
      <c r="G275" s="129">
        <f>SUM(G264:G274)</f>
        <v>1066738.52</v>
      </c>
      <c r="H275" s="105">
        <f>SUM(H264:H274)</f>
        <v>2841483</v>
      </c>
      <c r="I275" s="137">
        <f>SUM(I264:I274)</f>
        <v>1178109.4799999997</v>
      </c>
      <c r="J275" s="74">
        <f>SUM(J264:J274)</f>
        <v>2129383.0099999998</v>
      </c>
      <c r="K275" s="74"/>
      <c r="L275" s="140">
        <f>D275</f>
        <v>23205560.200000003</v>
      </c>
    </row>
    <row r="276" spans="1:16">
      <c r="A276" s="1" t="s">
        <v>1036</v>
      </c>
      <c r="H276" s="102"/>
      <c r="I276" s="133"/>
    </row>
    <row r="277" spans="1:16" s="1" customFormat="1">
      <c r="A277" s="17"/>
      <c r="B277" s="17"/>
      <c r="C277" s="17" t="s">
        <v>1023</v>
      </c>
      <c r="D277" s="110"/>
      <c r="E277" s="110"/>
      <c r="F277" s="110">
        <v>1200000</v>
      </c>
      <c r="G277" s="142"/>
      <c r="H277" s="110">
        <f>CAPITAL!F66</f>
        <v>1200000</v>
      </c>
      <c r="I277" s="166"/>
      <c r="J277" s="31">
        <f>CAPITAL!G66</f>
        <v>0</v>
      </c>
      <c r="K277" s="41"/>
      <c r="L277" s="44"/>
      <c r="M277" s="44"/>
    </row>
    <row r="278" spans="1:16">
      <c r="A278" s="13">
        <v>268</v>
      </c>
      <c r="B278" s="13">
        <v>463</v>
      </c>
      <c r="C278" s="13" t="s">
        <v>358</v>
      </c>
      <c r="D278" s="104">
        <v>1500000</v>
      </c>
      <c r="E278" s="104">
        <v>0</v>
      </c>
      <c r="F278" s="104">
        <v>1500000</v>
      </c>
      <c r="G278" s="128">
        <v>0</v>
      </c>
      <c r="H278" s="104">
        <f>CAPITAL!F70</f>
        <v>1500000</v>
      </c>
      <c r="I278" s="136">
        <v>0</v>
      </c>
      <c r="J278" s="80">
        <f>CAPITAL!G70</f>
        <v>0</v>
      </c>
      <c r="K278" s="40"/>
    </row>
    <row r="279" spans="1:16">
      <c r="A279" s="13">
        <v>268</v>
      </c>
      <c r="B279" s="13">
        <v>472</v>
      </c>
      <c r="C279" s="13" t="s">
        <v>359</v>
      </c>
      <c r="D279" s="104">
        <v>322190.56</v>
      </c>
      <c r="E279" s="104">
        <v>0</v>
      </c>
      <c r="F279" s="104">
        <v>73112.61</v>
      </c>
      <c r="G279" s="128">
        <v>1771536.17</v>
      </c>
      <c r="H279" s="104">
        <f>CAPITAL!F63</f>
        <v>73112.61</v>
      </c>
      <c r="I279" s="136">
        <v>2001751.17</v>
      </c>
      <c r="J279" s="80">
        <v>0</v>
      </c>
      <c r="K279" s="40"/>
    </row>
    <row r="280" spans="1:16">
      <c r="A280" s="13">
        <v>268</v>
      </c>
      <c r="B280" s="13">
        <v>474</v>
      </c>
      <c r="C280" s="13" t="s">
        <v>360</v>
      </c>
      <c r="D280" s="104">
        <v>893853.92</v>
      </c>
      <c r="E280" s="104">
        <v>0</v>
      </c>
      <c r="F280" s="104">
        <v>0</v>
      </c>
      <c r="G280" s="128">
        <v>64133.87</v>
      </c>
      <c r="H280" s="104"/>
      <c r="I280" s="136">
        <v>0</v>
      </c>
      <c r="J280" s="80">
        <v>0</v>
      </c>
      <c r="K280" s="40"/>
    </row>
    <row r="281" spans="1:16">
      <c r="A281" s="42"/>
      <c r="B281" s="42"/>
      <c r="C281" s="13" t="s">
        <v>1131</v>
      </c>
      <c r="D281" s="104"/>
      <c r="E281" s="104"/>
      <c r="F281" s="104"/>
      <c r="G281" s="128"/>
      <c r="H281" s="104"/>
      <c r="I281" s="136"/>
      <c r="J281" s="80">
        <f>CAPITAL!G65</f>
        <v>1414994.59</v>
      </c>
      <c r="K281" s="40"/>
    </row>
    <row r="282" spans="1:16">
      <c r="D282" s="105">
        <f t="shared" ref="D282:I282" si="47">SUM(D277:D281)</f>
        <v>2716044.48</v>
      </c>
      <c r="E282" s="105">
        <f t="shared" si="47"/>
        <v>0</v>
      </c>
      <c r="F282" s="105">
        <f t="shared" si="47"/>
        <v>2773112.61</v>
      </c>
      <c r="G282" s="105">
        <f t="shared" si="47"/>
        <v>1835670.04</v>
      </c>
      <c r="H282" s="105">
        <f t="shared" si="47"/>
        <v>2773112.61</v>
      </c>
      <c r="I282" s="137">
        <f t="shared" si="47"/>
        <v>2001751.17</v>
      </c>
      <c r="J282" s="74">
        <f>SUM(J277:J281)</f>
        <v>1414994.59</v>
      </c>
      <c r="K282" s="74"/>
    </row>
    <row r="283" spans="1:16" s="1" customFormat="1">
      <c r="A283" s="1" t="s">
        <v>929</v>
      </c>
      <c r="D283" s="108"/>
      <c r="E283" s="108"/>
      <c r="F283" s="108"/>
      <c r="G283" s="132"/>
      <c r="H283" s="108"/>
      <c r="I283" s="139"/>
      <c r="J283" s="44"/>
      <c r="K283" s="44"/>
      <c r="L283" s="44"/>
      <c r="M283" s="44"/>
    </row>
    <row r="284" spans="1:16">
      <c r="A284" s="13">
        <v>268</v>
      </c>
      <c r="B284" s="13">
        <v>8835</v>
      </c>
      <c r="C284" s="13" t="s">
        <v>362</v>
      </c>
      <c r="D284" s="104">
        <v>-1104000</v>
      </c>
      <c r="E284" s="104">
        <v>0</v>
      </c>
      <c r="F284" s="104">
        <f>GRANTS!G18</f>
        <v>-1108000</v>
      </c>
      <c r="G284" s="128">
        <v>0</v>
      </c>
      <c r="H284" s="104">
        <f>GRANTS!H18</f>
        <v>-1108000</v>
      </c>
      <c r="I284" s="136"/>
      <c r="J284" s="84">
        <f>GRANTS!I18</f>
        <v>-1023000</v>
      </c>
      <c r="K284" s="40"/>
      <c r="O284" s="42"/>
      <c r="P284" s="40"/>
    </row>
    <row r="285" spans="1:16" ht="15.75" thickBot="1">
      <c r="A285" s="13">
        <v>268</v>
      </c>
      <c r="B285" s="13">
        <v>8875</v>
      </c>
      <c r="C285" s="13" t="s">
        <v>363</v>
      </c>
      <c r="D285" s="104">
        <v>-45418.239999999998</v>
      </c>
      <c r="E285" s="104">
        <v>0</v>
      </c>
      <c r="F285" s="104">
        <f>GRANTS!G19</f>
        <v>-9419663</v>
      </c>
      <c r="G285" s="128">
        <v>0</v>
      </c>
      <c r="H285" s="104">
        <f>GRANTS!H19</f>
        <v>-9419663</v>
      </c>
      <c r="I285" s="136"/>
      <c r="J285" s="80">
        <f>GRANTS!I19</f>
        <v>-7948663</v>
      </c>
      <c r="K285" s="40">
        <f>K287*25/100</f>
        <v>-5841181.1871428564</v>
      </c>
      <c r="O285" s="42"/>
      <c r="P285" s="40"/>
    </row>
    <row r="286" spans="1:16" ht="15.75" thickBot="1">
      <c r="A286" s="13">
        <v>268</v>
      </c>
      <c r="B286" s="13">
        <v>8877</v>
      </c>
      <c r="C286" s="13" t="s">
        <v>147</v>
      </c>
      <c r="D286" s="104">
        <v>-1216044.48</v>
      </c>
      <c r="E286" s="104">
        <v>0</v>
      </c>
      <c r="F286" s="104">
        <v>-73112.61</v>
      </c>
      <c r="G286" s="128">
        <v>0</v>
      </c>
      <c r="H286" s="104">
        <f>GRANTS!H20</f>
        <v>-73112.610000000102</v>
      </c>
      <c r="I286" s="136"/>
      <c r="J286" s="80">
        <f>GRANTS!I20</f>
        <v>-1414994.59</v>
      </c>
      <c r="K286" s="40"/>
      <c r="M286" s="61" t="s">
        <v>916</v>
      </c>
      <c r="N286" s="221" t="s">
        <v>1105</v>
      </c>
      <c r="O286" s="59" t="s">
        <v>1103</v>
      </c>
      <c r="P286" s="59" t="s">
        <v>1117</v>
      </c>
    </row>
    <row r="287" spans="1:16">
      <c r="A287" s="13">
        <v>268</v>
      </c>
      <c r="B287" s="13">
        <v>8950</v>
      </c>
      <c r="C287" s="13" t="s">
        <v>364</v>
      </c>
      <c r="D287" s="104">
        <v>-18958000</v>
      </c>
      <c r="E287" s="104">
        <v>-14757635.58</v>
      </c>
      <c r="F287" s="104">
        <v>-24350099</v>
      </c>
      <c r="G287" s="128">
        <v>-11537784.619999999</v>
      </c>
      <c r="H287" s="104">
        <f>F287</f>
        <v>-24350099</v>
      </c>
      <c r="I287" s="133">
        <v>-13629422.77</v>
      </c>
      <c r="J287" s="80">
        <f>-23364724.7485714+-1401883.49</f>
        <v>-24766608.238571398</v>
      </c>
      <c r="K287" s="40">
        <f>I287/7*12</f>
        <v>-23364724.748571426</v>
      </c>
      <c r="L287" s="44" t="s">
        <v>954</v>
      </c>
      <c r="M287" s="44">
        <f>D245+D275+D261+D282</f>
        <v>32371868.500000004</v>
      </c>
      <c r="N287" s="27">
        <f>F245+F249+F253+F256+F261+F275</f>
        <v>26178307.895180002</v>
      </c>
      <c r="O287" s="27">
        <f>H245+H249+H253+H256+H261+H275</f>
        <v>21880961.031132068</v>
      </c>
      <c r="P287" s="27">
        <f>J245+J249+J253+J256+J261+J275</f>
        <v>22327013.082181253</v>
      </c>
    </row>
    <row r="288" spans="1:16">
      <c r="A288" s="13">
        <v>268</v>
      </c>
      <c r="B288" s="13">
        <v>9001</v>
      </c>
      <c r="C288" s="13" t="s">
        <v>366</v>
      </c>
      <c r="D288" s="104">
        <v>0</v>
      </c>
      <c r="E288" s="104">
        <v>-122.81</v>
      </c>
      <c r="F288" s="104">
        <f>E288/8*12</f>
        <v>-184.215</v>
      </c>
      <c r="G288" s="128">
        <v>0</v>
      </c>
      <c r="H288" s="104">
        <f>'OTHER REVENUE'!H18</f>
        <v>-184.215</v>
      </c>
      <c r="I288" s="136">
        <v>0</v>
      </c>
      <c r="J288" s="80">
        <v>0</v>
      </c>
      <c r="K288" s="40">
        <f>I288/7*12</f>
        <v>0</v>
      </c>
      <c r="L288" s="44" t="s">
        <v>955</v>
      </c>
      <c r="M288" s="44">
        <f>D289</f>
        <v>-21323462.719999999</v>
      </c>
      <c r="N288" s="27">
        <f>F289-F286-F284</f>
        <v>-33769946.215000004</v>
      </c>
      <c r="O288" s="27">
        <f>H289-H286-H284</f>
        <v>-33769946.215000004</v>
      </c>
      <c r="P288" s="27">
        <f>J289-J286</f>
        <v>-33738271.238571391</v>
      </c>
    </row>
    <row r="289" spans="1:16" ht="15.75" thickBot="1">
      <c r="D289" s="105">
        <f t="shared" ref="D289:J289" si="48">SUM(D284:D288)</f>
        <v>-21323462.719999999</v>
      </c>
      <c r="E289" s="105">
        <f t="shared" si="48"/>
        <v>-14757758.390000001</v>
      </c>
      <c r="F289" s="105">
        <f t="shared" si="48"/>
        <v>-34951058.825000003</v>
      </c>
      <c r="G289" s="129">
        <f t="shared" si="48"/>
        <v>-11537784.619999999</v>
      </c>
      <c r="H289" s="105">
        <f t="shared" si="48"/>
        <v>-34951058.825000003</v>
      </c>
      <c r="I289" s="137">
        <f t="shared" si="48"/>
        <v>-13629422.77</v>
      </c>
      <c r="J289" s="74">
        <f t="shared" si="48"/>
        <v>-35153265.828571394</v>
      </c>
      <c r="K289" s="74"/>
      <c r="M289" s="50">
        <f>M287+M288</f>
        <v>11048405.780000005</v>
      </c>
      <c r="N289" s="50">
        <f>N287+N288</f>
        <v>-7591638.3198200017</v>
      </c>
      <c r="O289" s="50">
        <f>O287+O288</f>
        <v>-11888985.183867935</v>
      </c>
      <c r="P289" s="50">
        <f>P287+P288</f>
        <v>-11411258.156390138</v>
      </c>
    </row>
    <row r="290" spans="1:16" ht="15.75" thickTop="1">
      <c r="H290" s="102"/>
      <c r="I290" s="133"/>
    </row>
    <row r="291" spans="1:16" s="71" customFormat="1">
      <c r="A291" s="71" t="s">
        <v>921</v>
      </c>
      <c r="D291" s="108"/>
      <c r="E291" s="108"/>
      <c r="F291" s="108"/>
      <c r="G291" s="108"/>
      <c r="H291" s="108"/>
      <c r="I291" s="139"/>
      <c r="J291" s="70"/>
      <c r="K291" s="70"/>
      <c r="L291" s="70"/>
      <c r="M291" s="70"/>
    </row>
    <row r="292" spans="1:16" s="35" customFormat="1">
      <c r="A292" s="79">
        <v>281</v>
      </c>
      <c r="B292" s="79">
        <v>1</v>
      </c>
      <c r="C292" s="79" t="s">
        <v>16</v>
      </c>
      <c r="D292" s="104">
        <v>1621621.1</v>
      </c>
      <c r="E292" s="104">
        <v>1144079.99</v>
      </c>
      <c r="F292" s="104">
        <f>L292*5.8/100+L292+2000000</f>
        <v>3815654.9441299997</v>
      </c>
      <c r="G292" s="104">
        <v>2012529.56</v>
      </c>
      <c r="H292" s="104">
        <v>3880521.0781802102</v>
      </c>
      <c r="I292" s="136">
        <v>2226029.56</v>
      </c>
      <c r="J292" s="84">
        <f>SALARIES!J194</f>
        <v>4113352.3428710224</v>
      </c>
      <c r="K292" s="91"/>
      <c r="L292" s="165">
        <f t="shared" ref="L292:L303" si="49">+E292/8*12</f>
        <v>1716119.9849999999</v>
      </c>
      <c r="M292" s="38"/>
    </row>
    <row r="293" spans="1:16" s="35" customFormat="1">
      <c r="A293" s="79">
        <v>281</v>
      </c>
      <c r="B293" s="79">
        <v>4</v>
      </c>
      <c r="C293" s="79" t="s">
        <v>58</v>
      </c>
      <c r="D293" s="104">
        <v>35449.33</v>
      </c>
      <c r="E293" s="104">
        <v>0</v>
      </c>
      <c r="F293" s="104">
        <f t="shared" ref="F293:F303" si="50">L293*5.8/100+L293</f>
        <v>0</v>
      </c>
      <c r="G293" s="104"/>
      <c r="H293" s="104">
        <v>0</v>
      </c>
      <c r="I293" s="136"/>
      <c r="J293" s="84">
        <f>SALARIES!J195</f>
        <v>0</v>
      </c>
      <c r="K293" s="91"/>
      <c r="L293" s="165">
        <f t="shared" si="49"/>
        <v>0</v>
      </c>
      <c r="M293" s="38"/>
    </row>
    <row r="294" spans="1:16" s="35" customFormat="1">
      <c r="A294" s="79">
        <v>281</v>
      </c>
      <c r="B294" s="79">
        <v>6</v>
      </c>
      <c r="C294" s="79" t="s">
        <v>19</v>
      </c>
      <c r="D294" s="104">
        <v>123708</v>
      </c>
      <c r="E294" s="104">
        <v>88263.6</v>
      </c>
      <c r="F294" s="104">
        <f t="shared" si="50"/>
        <v>140074.33320000002</v>
      </c>
      <c r="G294" s="104">
        <v>57173.4</v>
      </c>
      <c r="H294" s="104">
        <v>142455.59686440002</v>
      </c>
      <c r="I294" s="136">
        <v>57173.4</v>
      </c>
      <c r="J294" s="84">
        <f>SALARIES!J196</f>
        <v>151002.93267626403</v>
      </c>
      <c r="K294" s="91"/>
      <c r="L294" s="165">
        <f t="shared" si="49"/>
        <v>132395.40000000002</v>
      </c>
      <c r="M294" s="38"/>
    </row>
    <row r="295" spans="1:16" s="35" customFormat="1">
      <c r="A295" s="79">
        <v>281</v>
      </c>
      <c r="B295" s="79">
        <v>8</v>
      </c>
      <c r="C295" s="79" t="s">
        <v>173</v>
      </c>
      <c r="D295" s="104">
        <v>146427.38</v>
      </c>
      <c r="E295" s="104">
        <v>109299.14</v>
      </c>
      <c r="F295" s="104">
        <f t="shared" si="50"/>
        <v>173457.73517999999</v>
      </c>
      <c r="G295" s="104">
        <v>85823.47</v>
      </c>
      <c r="H295" s="104">
        <v>176406.51667806</v>
      </c>
      <c r="I295" s="136">
        <v>85823.47</v>
      </c>
      <c r="J295" s="84">
        <f>SALARIES!J197</f>
        <v>186990.90767874359</v>
      </c>
      <c r="K295" s="91"/>
      <c r="L295" s="165">
        <f t="shared" si="49"/>
        <v>163948.71</v>
      </c>
      <c r="M295" s="38"/>
    </row>
    <row r="296" spans="1:16" s="35" customFormat="1">
      <c r="A296" s="79">
        <v>281</v>
      </c>
      <c r="B296" s="79">
        <v>10</v>
      </c>
      <c r="C296" s="79" t="s">
        <v>22</v>
      </c>
      <c r="D296" s="104">
        <v>427918.8</v>
      </c>
      <c r="E296" s="104">
        <v>237844.98</v>
      </c>
      <c r="F296" s="104">
        <v>977459.98</v>
      </c>
      <c r="G296" s="104">
        <v>179671.92</v>
      </c>
      <c r="H296" s="104">
        <v>694076.8</v>
      </c>
      <c r="I296" s="136">
        <v>179671.92</v>
      </c>
      <c r="J296" s="84">
        <f>SALARIES!J198</f>
        <v>735721.40800000005</v>
      </c>
      <c r="K296" s="91"/>
      <c r="L296" s="165">
        <f t="shared" si="49"/>
        <v>356767.47000000003</v>
      </c>
      <c r="M296" s="38"/>
    </row>
    <row r="297" spans="1:16" s="35" customFormat="1">
      <c r="A297" s="79">
        <v>281</v>
      </c>
      <c r="B297" s="79">
        <v>13</v>
      </c>
      <c r="C297" s="79" t="s">
        <v>273</v>
      </c>
      <c r="D297" s="104">
        <v>176163.7</v>
      </c>
      <c r="E297" s="104">
        <v>136072.9</v>
      </c>
      <c r="F297" s="104">
        <v>415947.69</v>
      </c>
      <c r="G297" s="104">
        <v>94565.7</v>
      </c>
      <c r="H297" s="104">
        <v>423018.80306910002</v>
      </c>
      <c r="I297" s="136">
        <v>94565.7</v>
      </c>
      <c r="J297" s="84">
        <f>SALARIES!J199</f>
        <v>448399.93125324603</v>
      </c>
      <c r="K297" s="91"/>
      <c r="L297" s="165">
        <f t="shared" si="49"/>
        <v>204109.34999999998</v>
      </c>
      <c r="M297" s="38"/>
    </row>
    <row r="298" spans="1:16" s="35" customFormat="1">
      <c r="A298" s="79">
        <v>281</v>
      </c>
      <c r="B298" s="79">
        <v>14</v>
      </c>
      <c r="C298" s="79" t="s">
        <v>25</v>
      </c>
      <c r="D298" s="104">
        <v>106173</v>
      </c>
      <c r="E298" s="104">
        <v>74863.5</v>
      </c>
      <c r="F298" s="104">
        <v>418808.37</v>
      </c>
      <c r="G298" s="104">
        <v>54442.5</v>
      </c>
      <c r="H298" s="104">
        <v>425928.11686650006</v>
      </c>
      <c r="I298" s="136">
        <v>54442.5</v>
      </c>
      <c r="J298" s="84">
        <f>SALARIES!J200</f>
        <v>451483.80387849006</v>
      </c>
      <c r="K298" s="91"/>
      <c r="L298" s="165">
        <f t="shared" si="49"/>
        <v>112295.25</v>
      </c>
      <c r="M298" s="38"/>
    </row>
    <row r="299" spans="1:16" s="35" customFormat="1">
      <c r="A299" s="79">
        <v>281</v>
      </c>
      <c r="B299" s="79">
        <v>16</v>
      </c>
      <c r="C299" s="79" t="s">
        <v>27</v>
      </c>
      <c r="D299" s="104">
        <v>16755.439999999999</v>
      </c>
      <c r="E299" s="104">
        <v>11777.71</v>
      </c>
      <c r="F299" s="104">
        <f t="shared" si="50"/>
        <v>18691.225769999997</v>
      </c>
      <c r="G299" s="104">
        <v>8551.2099999999991</v>
      </c>
      <c r="H299" s="104">
        <v>19008.976608089997</v>
      </c>
      <c r="I299" s="136">
        <v>8551.2099999999991</v>
      </c>
      <c r="J299" s="84">
        <f>SALARIES!J201</f>
        <v>20149.515204575397</v>
      </c>
      <c r="K299" s="91"/>
      <c r="L299" s="165">
        <f t="shared" si="49"/>
        <v>17666.564999999999</v>
      </c>
      <c r="M299" s="38"/>
    </row>
    <row r="300" spans="1:16" s="35" customFormat="1">
      <c r="A300" s="79">
        <v>281</v>
      </c>
      <c r="B300" s="79">
        <v>17</v>
      </c>
      <c r="C300" s="79" t="s">
        <v>29</v>
      </c>
      <c r="D300" s="104">
        <v>14354.37</v>
      </c>
      <c r="E300" s="104">
        <v>14033.6</v>
      </c>
      <c r="F300" s="104">
        <v>42271.32</v>
      </c>
      <c r="G300" s="104">
        <v>10024</v>
      </c>
      <c r="H300" s="104">
        <v>42989.935694399996</v>
      </c>
      <c r="I300" s="136">
        <v>10024</v>
      </c>
      <c r="J300" s="84">
        <f>SALARIES!J202</f>
        <v>45569.331836063997</v>
      </c>
      <c r="K300" s="91"/>
      <c r="L300" s="165">
        <f t="shared" si="49"/>
        <v>21050.400000000001</v>
      </c>
      <c r="M300" s="38"/>
    </row>
    <row r="301" spans="1:16" s="35" customFormat="1">
      <c r="A301" s="79">
        <v>281</v>
      </c>
      <c r="B301" s="79">
        <v>18</v>
      </c>
      <c r="C301" s="79" t="s">
        <v>31</v>
      </c>
      <c r="D301" s="104">
        <v>134657.51999999999</v>
      </c>
      <c r="E301" s="104">
        <v>108177.92</v>
      </c>
      <c r="F301" s="104">
        <v>371678.36</v>
      </c>
      <c r="G301" s="104">
        <v>95172.99</v>
      </c>
      <c r="H301" s="104">
        <v>377996.89114368003</v>
      </c>
      <c r="I301" s="136">
        <v>95172.99</v>
      </c>
      <c r="J301" s="84">
        <f>SALARIES!J203</f>
        <v>400676.70461230085</v>
      </c>
      <c r="K301" s="91"/>
      <c r="L301" s="165">
        <f t="shared" si="49"/>
        <v>162266.88</v>
      </c>
      <c r="M301" s="38"/>
    </row>
    <row r="302" spans="1:16" s="35" customFormat="1">
      <c r="A302" s="79">
        <v>281</v>
      </c>
      <c r="B302" s="79">
        <v>102</v>
      </c>
      <c r="C302" s="79" t="s">
        <v>66</v>
      </c>
      <c r="D302" s="104">
        <v>22060.16</v>
      </c>
      <c r="E302" s="104">
        <v>15762.18</v>
      </c>
      <c r="F302" s="104">
        <f t="shared" si="50"/>
        <v>25014.579659999999</v>
      </c>
      <c r="G302" s="104">
        <v>11969.84</v>
      </c>
      <c r="H302" s="104">
        <v>25439.82751422</v>
      </c>
      <c r="I302" s="136">
        <v>11969.84</v>
      </c>
      <c r="J302" s="84">
        <f>SALARIES!J204</f>
        <v>26966.217165073202</v>
      </c>
      <c r="K302" s="91"/>
      <c r="L302" s="165">
        <f t="shared" si="49"/>
        <v>23643.27</v>
      </c>
      <c r="M302" s="38"/>
    </row>
    <row r="303" spans="1:16" s="35" customFormat="1">
      <c r="A303" s="79">
        <v>281</v>
      </c>
      <c r="B303" s="79">
        <v>104</v>
      </c>
      <c r="C303" s="79" t="s">
        <v>34</v>
      </c>
      <c r="D303" s="104">
        <v>949.2</v>
      </c>
      <c r="E303" s="104">
        <v>664.44</v>
      </c>
      <c r="F303" s="104">
        <f t="shared" si="50"/>
        <v>1054.4662800000001</v>
      </c>
      <c r="G303" s="104">
        <v>478.5</v>
      </c>
      <c r="H303" s="104">
        <v>1072.3922067600001</v>
      </c>
      <c r="I303" s="136">
        <v>478.5</v>
      </c>
      <c r="J303" s="84">
        <f>SALARIES!J205</f>
        <v>1136.7357391656001</v>
      </c>
      <c r="K303" s="91"/>
      <c r="L303" s="165">
        <f t="shared" si="49"/>
        <v>996.66000000000008</v>
      </c>
      <c r="M303" s="38"/>
    </row>
    <row r="304" spans="1:16" s="35" customFormat="1">
      <c r="D304" s="105">
        <f t="shared" ref="D304:J304" si="51">SUM(D292:D303)</f>
        <v>2826238.0000000005</v>
      </c>
      <c r="E304" s="105">
        <f t="shared" si="51"/>
        <v>1940839.9599999997</v>
      </c>
      <c r="F304" s="105">
        <f t="shared" si="51"/>
        <v>6400113.0042200023</v>
      </c>
      <c r="G304" s="105">
        <f t="shared" si="51"/>
        <v>2610403.0900000003</v>
      </c>
      <c r="H304" s="105">
        <f t="shared" si="51"/>
        <v>6208914.9348254204</v>
      </c>
      <c r="I304" s="137">
        <f t="shared" si="51"/>
        <v>2823903.0900000003</v>
      </c>
      <c r="J304" s="74">
        <f t="shared" si="51"/>
        <v>6581449.8309149463</v>
      </c>
      <c r="K304" s="74"/>
      <c r="L304" s="38"/>
      <c r="M304" s="38"/>
    </row>
    <row r="305" spans="1:13" s="35" customFormat="1">
      <c r="A305" s="71" t="s">
        <v>44</v>
      </c>
      <c r="D305" s="105"/>
      <c r="E305" s="105"/>
      <c r="F305" s="105"/>
      <c r="G305" s="105"/>
      <c r="H305" s="105"/>
      <c r="I305" s="137"/>
      <c r="J305" s="74"/>
      <c r="K305" s="74"/>
      <c r="L305" s="38"/>
      <c r="M305" s="38"/>
    </row>
    <row r="306" spans="1:13" s="35" customFormat="1">
      <c r="A306" s="79">
        <v>281</v>
      </c>
      <c r="B306" s="79">
        <v>210</v>
      </c>
      <c r="C306" s="79" t="s">
        <v>44</v>
      </c>
      <c r="D306" s="104">
        <v>69081.149999999994</v>
      </c>
      <c r="E306" s="104">
        <v>0</v>
      </c>
      <c r="F306" s="104">
        <f>'NON CASH'!G15</f>
        <v>70462.773000000001</v>
      </c>
      <c r="G306" s="104">
        <v>0</v>
      </c>
      <c r="H306" s="104">
        <f>'NON CASH'!H15</f>
        <v>73985.911649999995</v>
      </c>
      <c r="I306" s="136"/>
      <c r="J306" s="84">
        <f>'NON CASH'!I15</f>
        <v>75465.629883000001</v>
      </c>
      <c r="K306" s="91"/>
      <c r="L306" s="38"/>
      <c r="M306" s="38"/>
    </row>
    <row r="307" spans="1:13" s="35" customFormat="1">
      <c r="D307" s="105"/>
      <c r="E307" s="105"/>
      <c r="F307" s="105">
        <f>F306</f>
        <v>70462.773000000001</v>
      </c>
      <c r="G307" s="105">
        <f>G306</f>
        <v>0</v>
      </c>
      <c r="H307" s="105">
        <f>H306</f>
        <v>73985.911649999995</v>
      </c>
      <c r="I307" s="137">
        <f>I306</f>
        <v>0</v>
      </c>
      <c r="J307" s="74">
        <f>J306</f>
        <v>75465.629883000001</v>
      </c>
      <c r="K307" s="74"/>
      <c r="L307" s="38"/>
      <c r="M307" s="38"/>
    </row>
    <row r="308" spans="1:13" s="71" customFormat="1">
      <c r="A308" s="71" t="s">
        <v>927</v>
      </c>
      <c r="D308" s="108"/>
      <c r="E308" s="108"/>
      <c r="F308" s="108"/>
      <c r="G308" s="108"/>
      <c r="H308" s="108"/>
      <c r="I308" s="139"/>
      <c r="J308" s="70"/>
      <c r="K308" s="70"/>
      <c r="L308" s="70"/>
      <c r="M308" s="70"/>
    </row>
    <row r="309" spans="1:13" s="35" customFormat="1">
      <c r="A309" s="79">
        <v>281</v>
      </c>
      <c r="B309" s="79">
        <v>278</v>
      </c>
      <c r="C309" s="79" t="s">
        <v>218</v>
      </c>
      <c r="D309" s="104">
        <v>50000</v>
      </c>
      <c r="E309" s="104">
        <v>25126.45</v>
      </c>
      <c r="F309" s="104">
        <v>40000</v>
      </c>
      <c r="G309" s="104">
        <v>28999</v>
      </c>
      <c r="H309" s="104">
        <f>RME!H25</f>
        <v>40000</v>
      </c>
      <c r="I309" s="136">
        <v>28999</v>
      </c>
      <c r="J309" s="84">
        <v>30000</v>
      </c>
      <c r="K309" s="91">
        <f>I309/7*12</f>
        <v>49712.57142857142</v>
      </c>
      <c r="L309" s="38"/>
      <c r="M309" s="38"/>
    </row>
    <row r="310" spans="1:13" s="35" customFormat="1">
      <c r="A310" s="79">
        <v>281</v>
      </c>
      <c r="B310" s="79">
        <v>284</v>
      </c>
      <c r="C310" s="79" t="s">
        <v>221</v>
      </c>
      <c r="D310" s="104">
        <v>15000</v>
      </c>
      <c r="E310" s="104">
        <v>8388.75</v>
      </c>
      <c r="F310" s="104">
        <v>15000</v>
      </c>
      <c r="G310" s="104">
        <v>23704.63</v>
      </c>
      <c r="H310" s="104">
        <f>RME!H26</f>
        <v>45000</v>
      </c>
      <c r="I310" s="136">
        <v>32061.65</v>
      </c>
      <c r="J310" s="84">
        <v>50000</v>
      </c>
      <c r="K310" s="91">
        <f>I310/7*12</f>
        <v>54962.828571428574</v>
      </c>
      <c r="L310" s="38"/>
      <c r="M310" s="38"/>
    </row>
    <row r="311" spans="1:13" s="35" customFormat="1">
      <c r="D311" s="105">
        <f t="shared" ref="D311:J311" si="52">SUM(D309:D310)</f>
        <v>65000</v>
      </c>
      <c r="E311" s="105">
        <f t="shared" si="52"/>
        <v>33515.199999999997</v>
      </c>
      <c r="F311" s="105">
        <f t="shared" si="52"/>
        <v>55000</v>
      </c>
      <c r="G311" s="105">
        <f t="shared" si="52"/>
        <v>52703.630000000005</v>
      </c>
      <c r="H311" s="105">
        <f t="shared" si="52"/>
        <v>85000</v>
      </c>
      <c r="I311" s="137">
        <f t="shared" si="52"/>
        <v>61060.65</v>
      </c>
      <c r="J311" s="74">
        <f t="shared" si="52"/>
        <v>80000</v>
      </c>
      <c r="K311" s="74"/>
      <c r="L311" s="38"/>
      <c r="M311" s="38"/>
    </row>
    <row r="312" spans="1:13" s="71" customFormat="1">
      <c r="A312" s="71" t="s">
        <v>924</v>
      </c>
      <c r="D312" s="108"/>
      <c r="E312" s="108"/>
      <c r="F312" s="108"/>
      <c r="G312" s="108"/>
      <c r="H312" s="108"/>
      <c r="I312" s="139"/>
      <c r="J312" s="70"/>
      <c r="K312" s="70"/>
      <c r="L312" s="70"/>
      <c r="M312" s="70"/>
    </row>
    <row r="313" spans="1:13" s="35" customFormat="1">
      <c r="A313" s="79">
        <v>281</v>
      </c>
      <c r="B313" s="79">
        <v>123</v>
      </c>
      <c r="C313" s="79" t="s">
        <v>187</v>
      </c>
      <c r="D313" s="104">
        <v>177000</v>
      </c>
      <c r="E313" s="104">
        <v>75515.7</v>
      </c>
      <c r="F313" s="104">
        <v>120000</v>
      </c>
      <c r="G313" s="104">
        <v>512.34</v>
      </c>
      <c r="H313" s="104">
        <v>70000</v>
      </c>
      <c r="I313" s="136">
        <v>562.34</v>
      </c>
      <c r="J313" s="84">
        <v>35000</v>
      </c>
      <c r="K313" s="91">
        <f>I313/7*12</f>
        <v>964.0114285714285</v>
      </c>
      <c r="L313" s="38"/>
      <c r="M313" s="38"/>
    </row>
    <row r="314" spans="1:13" s="35" customFormat="1">
      <c r="A314" s="79">
        <v>281</v>
      </c>
      <c r="B314" s="79">
        <v>127</v>
      </c>
      <c r="C314" s="79" t="s">
        <v>507</v>
      </c>
      <c r="D314" s="104">
        <v>10000</v>
      </c>
      <c r="E314" s="104">
        <v>0</v>
      </c>
      <c r="F314" s="104">
        <v>30000</v>
      </c>
      <c r="G314" s="104">
        <v>0</v>
      </c>
      <c r="H314" s="104">
        <v>30000</v>
      </c>
      <c r="I314" s="136">
        <v>0</v>
      </c>
      <c r="J314" s="84">
        <v>10000</v>
      </c>
      <c r="K314" s="91">
        <f t="shared" ref="K314:K320" si="53">I314/7*12</f>
        <v>0</v>
      </c>
      <c r="L314" s="38"/>
      <c r="M314" s="38"/>
    </row>
    <row r="315" spans="1:13" s="35" customFormat="1">
      <c r="A315" s="79">
        <v>281</v>
      </c>
      <c r="B315" s="79">
        <v>175</v>
      </c>
      <c r="C315" s="79" t="s">
        <v>195</v>
      </c>
      <c r="D315" s="104">
        <v>300000</v>
      </c>
      <c r="E315" s="104">
        <v>225751.57</v>
      </c>
      <c r="F315" s="104">
        <v>250000</v>
      </c>
      <c r="G315" s="104">
        <v>174321.06</v>
      </c>
      <c r="H315" s="104">
        <v>348000</v>
      </c>
      <c r="I315" s="136">
        <v>176680.62</v>
      </c>
      <c r="J315" s="84">
        <v>310000</v>
      </c>
      <c r="K315" s="91">
        <f t="shared" si="53"/>
        <v>302881.06285714288</v>
      </c>
      <c r="L315" s="38"/>
      <c r="M315" s="38"/>
    </row>
    <row r="316" spans="1:13" s="35" customFormat="1">
      <c r="A316" s="79">
        <v>281</v>
      </c>
      <c r="B316" s="79">
        <v>183</v>
      </c>
      <c r="C316" s="79" t="s">
        <v>75</v>
      </c>
      <c r="D316" s="104">
        <v>5000</v>
      </c>
      <c r="E316" s="104">
        <v>18000</v>
      </c>
      <c r="F316" s="104">
        <v>0</v>
      </c>
      <c r="G316" s="104"/>
      <c r="H316" s="104">
        <v>0</v>
      </c>
      <c r="I316" s="136"/>
      <c r="J316" s="84">
        <v>0</v>
      </c>
      <c r="K316" s="91">
        <f t="shared" si="53"/>
        <v>0</v>
      </c>
      <c r="L316" s="38"/>
      <c r="M316" s="38"/>
    </row>
    <row r="317" spans="1:13" s="71" customFormat="1">
      <c r="A317" s="86">
        <v>281</v>
      </c>
      <c r="B317" s="86">
        <v>193</v>
      </c>
      <c r="C317" s="86" t="s">
        <v>938</v>
      </c>
      <c r="D317" s="110"/>
      <c r="E317" s="110"/>
      <c r="F317" s="110">
        <v>80000</v>
      </c>
      <c r="G317" s="110">
        <v>472587.51</v>
      </c>
      <c r="H317" s="110">
        <v>500000</v>
      </c>
      <c r="I317" s="166">
        <v>472587.51</v>
      </c>
      <c r="J317" s="87">
        <f>650000-293668.39</f>
        <v>356331.61</v>
      </c>
      <c r="K317" s="91">
        <f t="shared" si="53"/>
        <v>810150.01714285719</v>
      </c>
      <c r="L317" s="70"/>
      <c r="M317" s="70"/>
    </row>
    <row r="318" spans="1:13" s="35" customFormat="1">
      <c r="A318" s="79">
        <v>281</v>
      </c>
      <c r="B318" s="79">
        <v>195</v>
      </c>
      <c r="C318" s="79" t="s">
        <v>38</v>
      </c>
      <c r="D318" s="104">
        <v>2500</v>
      </c>
      <c r="E318" s="104">
        <v>0</v>
      </c>
      <c r="F318" s="104">
        <v>0</v>
      </c>
      <c r="G318" s="104">
        <v>21255.759999999998</v>
      </c>
      <c r="H318" s="104">
        <v>40000</v>
      </c>
      <c r="I318" s="136">
        <v>21255.759999999998</v>
      </c>
      <c r="J318" s="84">
        <v>40000</v>
      </c>
      <c r="K318" s="91">
        <f t="shared" si="53"/>
        <v>36438.445714285714</v>
      </c>
      <c r="L318" s="38"/>
      <c r="M318" s="38"/>
    </row>
    <row r="319" spans="1:13" s="35" customFormat="1">
      <c r="A319" s="79">
        <v>281</v>
      </c>
      <c r="B319" s="79">
        <v>196</v>
      </c>
      <c r="C319" s="79" t="s">
        <v>512</v>
      </c>
      <c r="D319" s="104">
        <v>10000</v>
      </c>
      <c r="E319" s="104">
        <v>0</v>
      </c>
      <c r="F319" s="104">
        <v>10000</v>
      </c>
      <c r="G319" s="104">
        <v>0</v>
      </c>
      <c r="H319" s="104">
        <v>10000</v>
      </c>
      <c r="I319" s="136">
        <v>0</v>
      </c>
      <c r="J319" s="84">
        <v>0</v>
      </c>
      <c r="K319" s="91">
        <f t="shared" si="53"/>
        <v>0</v>
      </c>
      <c r="L319" s="38"/>
      <c r="M319" s="38"/>
    </row>
    <row r="320" spans="1:13" s="35" customFormat="1">
      <c r="A320" s="79">
        <v>281</v>
      </c>
      <c r="B320" s="79">
        <v>262</v>
      </c>
      <c r="C320" s="79" t="s">
        <v>212</v>
      </c>
      <c r="D320" s="104">
        <v>200000</v>
      </c>
      <c r="E320" s="104">
        <v>173500</v>
      </c>
      <c r="F320" s="104">
        <v>0</v>
      </c>
      <c r="G320" s="104">
        <v>0</v>
      </c>
      <c r="H320" s="104">
        <v>0</v>
      </c>
      <c r="I320" s="136"/>
      <c r="J320" s="84">
        <v>0</v>
      </c>
      <c r="K320" s="91">
        <f t="shared" si="53"/>
        <v>0</v>
      </c>
      <c r="L320" s="38"/>
      <c r="M320" s="38"/>
    </row>
    <row r="321" spans="1:16" s="35" customFormat="1" ht="15.75" thickBot="1">
      <c r="D321" s="105">
        <f t="shared" ref="D321:I321" si="54">SUM(D313:D320)</f>
        <v>704500</v>
      </c>
      <c r="E321" s="105">
        <f t="shared" si="54"/>
        <v>492767.27</v>
      </c>
      <c r="F321" s="105">
        <f t="shared" si="54"/>
        <v>490000</v>
      </c>
      <c r="G321" s="105">
        <f t="shared" si="54"/>
        <v>668676.67000000004</v>
      </c>
      <c r="H321" s="105">
        <f t="shared" si="54"/>
        <v>998000</v>
      </c>
      <c r="I321" s="137">
        <f t="shared" si="54"/>
        <v>671086.23</v>
      </c>
      <c r="J321" s="74">
        <f>SUM(J313:J320)</f>
        <v>751331.61</v>
      </c>
      <c r="K321" s="74"/>
      <c r="L321" s="38"/>
      <c r="M321" s="38"/>
    </row>
    <row r="322" spans="1:16" s="71" customFormat="1" ht="15.75" thickBot="1">
      <c r="A322" s="71" t="s">
        <v>923</v>
      </c>
      <c r="D322" s="108"/>
      <c r="E322" s="108"/>
      <c r="F322" s="108"/>
      <c r="G322" s="108"/>
      <c r="H322" s="108"/>
      <c r="I322" s="139"/>
      <c r="J322" s="70"/>
      <c r="K322" s="70"/>
      <c r="L322" s="70"/>
      <c r="M322" s="333" t="s">
        <v>916</v>
      </c>
      <c r="N322" s="69" t="s">
        <v>1105</v>
      </c>
      <c r="O322" s="334" t="s">
        <v>1103</v>
      </c>
      <c r="P322" s="334" t="s">
        <v>1117</v>
      </c>
    </row>
    <row r="323" spans="1:16" s="35" customFormat="1">
      <c r="A323" s="79">
        <v>281</v>
      </c>
      <c r="B323" s="79">
        <v>8813</v>
      </c>
      <c r="C323" s="79" t="s">
        <v>517</v>
      </c>
      <c r="D323" s="104">
        <v>-180000</v>
      </c>
      <c r="E323" s="104">
        <v>-85100</v>
      </c>
      <c r="F323" s="104">
        <v>-180000</v>
      </c>
      <c r="G323" s="104">
        <v>-557789.99</v>
      </c>
      <c r="H323" s="104">
        <v>-180000</v>
      </c>
      <c r="I323" s="136">
        <v>-560139.99</v>
      </c>
      <c r="J323" s="84">
        <v>-180000</v>
      </c>
      <c r="K323" s="91">
        <f>I323/7*12</f>
        <v>-960239.98285714281</v>
      </c>
      <c r="L323" s="91">
        <f>J323/7*12</f>
        <v>-308571.42857142858</v>
      </c>
      <c r="M323" s="91">
        <f>D304+D307+D311+D321</f>
        <v>3595738.0000000005</v>
      </c>
      <c r="N323" s="91">
        <f>F304+F307+F311+F321</f>
        <v>7015575.7772200024</v>
      </c>
      <c r="O323" s="91">
        <f>H304+H307+H311+H321</f>
        <v>7365900.8464754205</v>
      </c>
      <c r="P323" s="38">
        <f>J304+J307+J311+J321</f>
        <v>7488247.0707979463</v>
      </c>
    </row>
    <row r="324" spans="1:16" s="35" customFormat="1">
      <c r="A324" s="79">
        <v>281</v>
      </c>
      <c r="B324" s="79">
        <v>8880</v>
      </c>
      <c r="C324" s="79" t="s">
        <v>519</v>
      </c>
      <c r="D324" s="104">
        <v>0</v>
      </c>
      <c r="E324" s="104">
        <v>-27200</v>
      </c>
      <c r="F324" s="104">
        <v>0</v>
      </c>
      <c r="G324" s="104">
        <v>7400</v>
      </c>
      <c r="H324" s="104">
        <v>0</v>
      </c>
      <c r="I324" s="136">
        <v>-11350</v>
      </c>
      <c r="J324" s="84">
        <v>-20000</v>
      </c>
      <c r="K324" s="91">
        <f>I324/7*12</f>
        <v>-19457.142857142855</v>
      </c>
      <c r="L324" s="70" t="s">
        <v>953</v>
      </c>
      <c r="M324" s="70">
        <f>D325</f>
        <v>-180000</v>
      </c>
      <c r="N324" s="38">
        <f>F325</f>
        <v>-180000</v>
      </c>
      <c r="O324" s="38">
        <f>H325</f>
        <v>-180000</v>
      </c>
      <c r="P324" s="38">
        <f>J325</f>
        <v>-200000</v>
      </c>
    </row>
    <row r="325" spans="1:16" s="35" customFormat="1" ht="15.75" thickBot="1">
      <c r="D325" s="105">
        <f t="shared" ref="D325:J325" si="55">SUM(D323:D324)</f>
        <v>-180000</v>
      </c>
      <c r="E325" s="105">
        <f t="shared" si="55"/>
        <v>-112300</v>
      </c>
      <c r="F325" s="105">
        <f t="shared" si="55"/>
        <v>-180000</v>
      </c>
      <c r="G325" s="105">
        <f t="shared" si="55"/>
        <v>-550389.99</v>
      </c>
      <c r="H325" s="105">
        <f t="shared" si="55"/>
        <v>-180000</v>
      </c>
      <c r="I325" s="137">
        <f t="shared" si="55"/>
        <v>-571489.99</v>
      </c>
      <c r="J325" s="74">
        <f t="shared" si="55"/>
        <v>-200000</v>
      </c>
      <c r="K325" s="74"/>
      <c r="L325" s="38"/>
      <c r="M325" s="75">
        <f>M323+M324</f>
        <v>3415738.0000000005</v>
      </c>
      <c r="N325" s="75">
        <f>N323+N324</f>
        <v>6835575.7772200024</v>
      </c>
      <c r="O325" s="75">
        <f>O323+O324</f>
        <v>7185900.8464754205</v>
      </c>
      <c r="P325" s="75">
        <f>P323+P324</f>
        <v>7288247.0707979463</v>
      </c>
    </row>
    <row r="326" spans="1:16" ht="15.75" thickTop="1">
      <c r="H326" s="102"/>
      <c r="I326" s="133"/>
    </row>
    <row r="327" spans="1:16">
      <c r="H327" s="102"/>
      <c r="I327" s="133"/>
      <c r="J327" s="91"/>
      <c r="K327" s="91"/>
    </row>
    <row r="328" spans="1:16">
      <c r="H328" s="102"/>
      <c r="I328" s="133"/>
      <c r="J328" s="91"/>
      <c r="K328" s="91"/>
    </row>
    <row r="329" spans="1:16">
      <c r="H329" s="102"/>
      <c r="I329" s="133"/>
      <c r="J329" s="38"/>
      <c r="K329" s="38"/>
    </row>
    <row r="330" spans="1:16">
      <c r="H330" s="102"/>
      <c r="I330" s="133"/>
      <c r="J330" s="38"/>
      <c r="K330" s="38"/>
    </row>
    <row r="331" spans="1:16">
      <c r="C331" s="51" t="s">
        <v>1107</v>
      </c>
      <c r="D331" s="112"/>
      <c r="E331" s="113"/>
      <c r="F331" s="194"/>
      <c r="H331" s="102"/>
      <c r="I331" s="133"/>
    </row>
    <row r="332" spans="1:16" ht="15.75" thickBot="1">
      <c r="C332" s="27"/>
      <c r="H332" s="102"/>
      <c r="I332" s="133"/>
    </row>
    <row r="333" spans="1:16" ht="15.75" thickBot="1">
      <c r="C333" s="61" t="s">
        <v>916</v>
      </c>
      <c r="D333" s="195" t="s">
        <v>1102</v>
      </c>
      <c r="E333" s="225"/>
      <c r="F333" s="226" t="s">
        <v>1103</v>
      </c>
      <c r="H333" s="226" t="s">
        <v>1117</v>
      </c>
      <c r="I333" s="133"/>
    </row>
    <row r="334" spans="1:16">
      <c r="A334">
        <v>219</v>
      </c>
      <c r="B334" t="s">
        <v>974</v>
      </c>
      <c r="C334" s="27">
        <f>M29</f>
        <v>-732142.37999999966</v>
      </c>
      <c r="D334" s="102">
        <f>N29</f>
        <v>-1812290.2321400002</v>
      </c>
      <c r="F334" s="102">
        <f>O29</f>
        <v>-1729647.5557037657</v>
      </c>
      <c r="G334" s="102">
        <f>P29</f>
        <v>-2317344.6439602775</v>
      </c>
      <c r="H334" s="102">
        <f>P29</f>
        <v>-2317344.6439602775</v>
      </c>
      <c r="I334" s="133"/>
    </row>
    <row r="335" spans="1:16">
      <c r="A335">
        <v>227</v>
      </c>
      <c r="B335" t="s">
        <v>975</v>
      </c>
      <c r="C335" s="27">
        <f>M70</f>
        <v>-257310.81999999995</v>
      </c>
      <c r="D335" s="102">
        <f>N70</f>
        <v>-867696.24560000014</v>
      </c>
      <c r="F335" s="102">
        <f>O70</f>
        <v>-832218.19988195028</v>
      </c>
      <c r="H335" s="102">
        <f>P70</f>
        <v>-950935.95507486735</v>
      </c>
      <c r="I335" s="133"/>
    </row>
    <row r="336" spans="1:16">
      <c r="A336">
        <v>229</v>
      </c>
      <c r="B336" t="s">
        <v>135</v>
      </c>
      <c r="C336" s="27">
        <f>M99</f>
        <v>-545078.04</v>
      </c>
      <c r="D336" s="102">
        <f>N99</f>
        <v>-1297652.3158900002</v>
      </c>
      <c r="F336" s="102">
        <f>O99</f>
        <v>-1293679.9580204729</v>
      </c>
      <c r="H336" s="102">
        <f>P99</f>
        <v>-1063061.1301089013</v>
      </c>
      <c r="I336" s="133"/>
    </row>
    <row r="337" spans="1:13">
      <c r="A337">
        <v>230</v>
      </c>
      <c r="B337" t="s">
        <v>976</v>
      </c>
      <c r="C337" s="27">
        <f>M136</f>
        <v>-63599.639999999665</v>
      </c>
      <c r="D337" s="102">
        <f>N136</f>
        <v>-3980663.6134400005</v>
      </c>
      <c r="F337" s="102">
        <f>O136</f>
        <v>-3854248.8630927484</v>
      </c>
      <c r="H337" s="102">
        <f>P136</f>
        <v>-3892374.896478313</v>
      </c>
      <c r="I337" s="133"/>
    </row>
    <row r="338" spans="1:13">
      <c r="A338">
        <v>245</v>
      </c>
      <c r="B338" t="s">
        <v>977</v>
      </c>
      <c r="C338" s="40">
        <f>M174</f>
        <v>238907.51999999979</v>
      </c>
      <c r="D338" s="106">
        <f>N174</f>
        <v>-1409523.8046099991</v>
      </c>
      <c r="F338" s="102">
        <f>O174</f>
        <v>-3302123.1222711666</v>
      </c>
      <c r="H338" s="102">
        <f>P174</f>
        <v>-2344475.8282149797</v>
      </c>
      <c r="I338" s="133"/>
    </row>
    <row r="339" spans="1:13">
      <c r="A339">
        <v>262</v>
      </c>
      <c r="B339" t="s">
        <v>978</v>
      </c>
      <c r="C339" s="27">
        <f>M230</f>
        <v>-30981.090000001714</v>
      </c>
      <c r="D339" s="102">
        <f>N230</f>
        <v>-1752433.1691399971</v>
      </c>
      <c r="F339" s="102">
        <f>O230</f>
        <v>-1345676.0931718163</v>
      </c>
      <c r="H339" s="102">
        <f>P230</f>
        <v>-382733.25682332739</v>
      </c>
      <c r="I339" s="133"/>
    </row>
    <row r="340" spans="1:13">
      <c r="A340">
        <v>268</v>
      </c>
      <c r="B340" t="s">
        <v>979</v>
      </c>
      <c r="C340" s="27">
        <f>M289</f>
        <v>11048405.780000005</v>
      </c>
      <c r="D340" s="102">
        <f>N289</f>
        <v>-7591638.3198200017</v>
      </c>
      <c r="F340" s="102">
        <f>O289</f>
        <v>-11888985.183867935</v>
      </c>
      <c r="H340" s="102">
        <f>P289</f>
        <v>-11411258.156390138</v>
      </c>
      <c r="I340" s="133"/>
    </row>
    <row r="341" spans="1:13">
      <c r="A341">
        <v>281</v>
      </c>
      <c r="B341" t="s">
        <v>980</v>
      </c>
      <c r="C341" s="27">
        <f>M325</f>
        <v>3415738.0000000005</v>
      </c>
      <c r="D341" s="102">
        <f>N325</f>
        <v>6835575.7772200024</v>
      </c>
      <c r="F341" s="102">
        <f>O325</f>
        <v>7185900.8464754205</v>
      </c>
      <c r="G341" s="222"/>
      <c r="H341" s="102">
        <f>P325</f>
        <v>7288247.0707979463</v>
      </c>
      <c r="I341" s="172"/>
      <c r="J341"/>
      <c r="K341"/>
      <c r="L341"/>
      <c r="M341"/>
    </row>
    <row r="342" spans="1:13" ht="15.75" thickBot="1">
      <c r="C342" s="50">
        <f t="shared" ref="C342:H342" si="56">SUM(C334:C341)</f>
        <v>13073939.330000004</v>
      </c>
      <c r="D342" s="114">
        <f t="shared" si="56"/>
        <v>-11876321.923419997</v>
      </c>
      <c r="E342" s="114">
        <f t="shared" si="56"/>
        <v>0</v>
      </c>
      <c r="F342" s="114">
        <f t="shared" si="56"/>
        <v>-17060678.129534431</v>
      </c>
      <c r="G342" s="114">
        <f t="shared" si="56"/>
        <v>-2317344.6439602775</v>
      </c>
      <c r="H342" s="114">
        <f t="shared" si="56"/>
        <v>-15073936.796252858</v>
      </c>
      <c r="I342" s="172"/>
      <c r="J342"/>
      <c r="K342"/>
      <c r="L342"/>
      <c r="M342"/>
    </row>
    <row r="343" spans="1:13" ht="15.75" thickTop="1">
      <c r="G343" s="222"/>
      <c r="H343" s="159"/>
      <c r="I343" s="172"/>
      <c r="J343"/>
      <c r="K343"/>
      <c r="L343"/>
      <c r="M343"/>
    </row>
    <row r="344" spans="1:13">
      <c r="H344" s="102"/>
      <c r="I344" s="133"/>
    </row>
    <row r="345" spans="1:13">
      <c r="H345" s="102"/>
      <c r="I345" s="133"/>
    </row>
    <row r="346" spans="1:13">
      <c r="H346" s="102"/>
      <c r="I346" s="133"/>
    </row>
    <row r="347" spans="1:13">
      <c r="H347" s="102"/>
      <c r="I347" s="133"/>
    </row>
    <row r="348" spans="1:13">
      <c r="H348" s="102"/>
      <c r="I348" s="133"/>
    </row>
    <row r="349" spans="1:13">
      <c r="H349" s="102"/>
      <c r="I349" s="133"/>
    </row>
    <row r="350" spans="1:13">
      <c r="H350" s="102"/>
      <c r="I350" s="133"/>
    </row>
    <row r="351" spans="1:13">
      <c r="H351" s="102"/>
      <c r="I351" s="133"/>
    </row>
    <row r="352" spans="1:13">
      <c r="H352" s="102"/>
      <c r="I352" s="133"/>
    </row>
    <row r="353" spans="8:9">
      <c r="H353" s="102"/>
      <c r="I353" s="133"/>
    </row>
    <row r="354" spans="8:9">
      <c r="H354" s="102"/>
      <c r="I354" s="133"/>
    </row>
    <row r="355" spans="8:9">
      <c r="H355" s="102"/>
      <c r="I355" s="133"/>
    </row>
    <row r="356" spans="8:9">
      <c r="H356" s="102"/>
      <c r="I356" s="133"/>
    </row>
    <row r="357" spans="8:9">
      <c r="H357" s="102"/>
      <c r="I357" s="133"/>
    </row>
    <row r="358" spans="8:9">
      <c r="H358" s="102"/>
      <c r="I358" s="133"/>
    </row>
    <row r="359" spans="8:9">
      <c r="H359" s="102"/>
      <c r="I359" s="133"/>
    </row>
    <row r="360" spans="8:9">
      <c r="H360" s="102"/>
      <c r="I360" s="133"/>
    </row>
    <row r="361" spans="8:9">
      <c r="H361" s="102"/>
      <c r="I361" s="133"/>
    </row>
    <row r="362" spans="8:9">
      <c r="H362" s="102"/>
      <c r="I362" s="133"/>
    </row>
    <row r="363" spans="8:9">
      <c r="H363" s="102"/>
      <c r="I363" s="133"/>
    </row>
    <row r="364" spans="8:9">
      <c r="H364" s="102"/>
      <c r="I364" s="133"/>
    </row>
    <row r="365" spans="8:9">
      <c r="H365" s="102"/>
      <c r="I365" s="133"/>
    </row>
    <row r="366" spans="8:9">
      <c r="H366" s="102"/>
      <c r="I366" s="133"/>
    </row>
    <row r="367" spans="8:9">
      <c r="H367" s="102"/>
      <c r="I367" s="133"/>
    </row>
    <row r="368" spans="8:9">
      <c r="H368" s="102"/>
      <c r="I368" s="133"/>
    </row>
    <row r="369" spans="8:9">
      <c r="H369" s="102"/>
      <c r="I369" s="133"/>
    </row>
    <row r="370" spans="8:9">
      <c r="H370" s="102"/>
      <c r="I370" s="133"/>
    </row>
    <row r="371" spans="8:9">
      <c r="H371" s="102"/>
      <c r="I371" s="133"/>
    </row>
    <row r="372" spans="8:9">
      <c r="H372" s="102"/>
      <c r="I372" s="133"/>
    </row>
    <row r="373" spans="8:9">
      <c r="H373" s="102"/>
      <c r="I373" s="133"/>
    </row>
    <row r="374" spans="8:9">
      <c r="H374" s="102"/>
      <c r="I374" s="133"/>
    </row>
    <row r="375" spans="8:9">
      <c r="H375" s="102"/>
      <c r="I375" s="133"/>
    </row>
    <row r="376" spans="8:9">
      <c r="H376" s="102"/>
      <c r="I376" s="133"/>
    </row>
    <row r="377" spans="8:9">
      <c r="H377" s="102"/>
    </row>
    <row r="378" spans="8:9">
      <c r="H378" s="102"/>
    </row>
    <row r="379" spans="8:9">
      <c r="H379" s="102"/>
    </row>
    <row r="380" spans="8:9">
      <c r="H380" s="102"/>
    </row>
    <row r="381" spans="8:9">
      <c r="H381" s="102"/>
    </row>
    <row r="382" spans="8:9">
      <c r="H382" s="102"/>
    </row>
    <row r="383" spans="8:9">
      <c r="H383" s="102"/>
    </row>
    <row r="384" spans="8:9">
      <c r="H384" s="102"/>
    </row>
    <row r="385" spans="8:8">
      <c r="H385" s="102"/>
    </row>
    <row r="386" spans="8:8">
      <c r="H386" s="102"/>
    </row>
    <row r="387" spans="8:8">
      <c r="H387" s="102"/>
    </row>
    <row r="388" spans="8:8">
      <c r="H388" s="102"/>
    </row>
    <row r="389" spans="8:8">
      <c r="H389" s="102"/>
    </row>
  </sheetData>
  <pageMargins left="0.70866141732283472" right="0.70866141732283472" top="0.74803149606299213" bottom="0.74803149606299213" header="0.31496062992125984" footer="0.31496062992125984"/>
  <pageSetup scale="59" orientation="portrait" r:id="rId1"/>
  <colBreaks count="1" manualBreakCount="1">
    <brk id="11" max="33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4"/>
  <sheetViews>
    <sheetView topLeftCell="D1" zoomScaleNormal="100" workbookViewId="0">
      <pane ySplit="2" topLeftCell="A55" activePane="bottomLeft" state="frozen"/>
      <selection pane="bottomLeft" activeCell="J61" sqref="J61"/>
    </sheetView>
  </sheetViews>
  <sheetFormatPr defaultRowHeight="15"/>
  <cols>
    <col min="3" max="3" width="32.7109375" bestFit="1" customWidth="1"/>
    <col min="4" max="4" width="26" style="159" bestFit="1" customWidth="1"/>
    <col min="5" max="5" width="24" style="159" hidden="1" customWidth="1"/>
    <col min="6" max="6" width="26" style="159" bestFit="1" customWidth="1"/>
    <col min="7" max="7" width="24" style="162" hidden="1" customWidth="1"/>
    <col min="8" max="8" width="26" bestFit="1" customWidth="1"/>
    <col min="9" max="11" width="26" customWidth="1"/>
    <col min="12" max="12" width="23" style="27" bestFit="1" customWidth="1"/>
    <col min="13" max="13" width="23" style="27" customWidth="1"/>
    <col min="14" max="14" width="19.7109375" bestFit="1" customWidth="1"/>
    <col min="15" max="16" width="26" bestFit="1" customWidth="1"/>
  </cols>
  <sheetData>
    <row r="1" spans="1:13" ht="15.75" thickBot="1">
      <c r="A1" s="147"/>
      <c r="B1" s="147"/>
      <c r="C1" s="147"/>
      <c r="D1" s="154"/>
      <c r="E1" s="154"/>
      <c r="F1" s="154"/>
      <c r="G1" s="154"/>
      <c r="H1" s="154"/>
      <c r="I1" s="154"/>
      <c r="J1" s="154"/>
      <c r="K1" s="154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5" t="s">
        <v>916</v>
      </c>
      <c r="E2" s="156" t="s">
        <v>920</v>
      </c>
      <c r="F2" s="155" t="s">
        <v>1102</v>
      </c>
      <c r="G2" s="155" t="s">
        <v>1104</v>
      </c>
      <c r="H2" s="155" t="s">
        <v>1103</v>
      </c>
      <c r="I2" s="155" t="s">
        <v>1118</v>
      </c>
      <c r="J2" s="155" t="s">
        <v>1123</v>
      </c>
      <c r="K2" s="292"/>
      <c r="L2" s="44"/>
      <c r="M2" s="44"/>
    </row>
    <row r="3" spans="1:13" hidden="1">
      <c r="A3">
        <v>223</v>
      </c>
      <c r="B3">
        <v>1</v>
      </c>
      <c r="C3" t="s">
        <v>16</v>
      </c>
      <c r="D3" s="102">
        <v>18000</v>
      </c>
      <c r="E3" s="102">
        <v>9000</v>
      </c>
      <c r="F3" s="102">
        <v>0</v>
      </c>
      <c r="G3" s="160"/>
      <c r="H3" s="27"/>
      <c r="I3" s="27"/>
      <c r="J3" s="27"/>
      <c r="K3" s="27"/>
    </row>
    <row r="4" spans="1:13" hidden="1">
      <c r="A4">
        <v>223</v>
      </c>
      <c r="B4">
        <v>16</v>
      </c>
      <c r="C4" t="s">
        <v>89</v>
      </c>
      <c r="D4" s="102">
        <v>180</v>
      </c>
      <c r="E4" s="102">
        <v>90</v>
      </c>
      <c r="F4" s="102">
        <v>0</v>
      </c>
      <c r="G4" s="160"/>
      <c r="H4" s="27"/>
      <c r="I4" s="27"/>
      <c r="J4" s="27"/>
      <c r="K4" s="27"/>
    </row>
    <row r="5" spans="1:13" hidden="1">
      <c r="A5">
        <v>223</v>
      </c>
      <c r="B5">
        <v>102</v>
      </c>
      <c r="C5" t="s">
        <v>33</v>
      </c>
      <c r="D5" s="102">
        <v>180</v>
      </c>
      <c r="E5" s="102">
        <v>90</v>
      </c>
      <c r="F5" s="102">
        <v>0</v>
      </c>
      <c r="G5" s="160"/>
      <c r="H5" s="27"/>
      <c r="I5" s="27"/>
      <c r="J5" s="27"/>
      <c r="K5" s="27"/>
    </row>
    <row r="6" spans="1:13" hidden="1">
      <c r="D6" s="105">
        <f>SUM(D3:D5)</f>
        <v>18360</v>
      </c>
      <c r="E6" s="105">
        <f>SUM(E3:E5)</f>
        <v>9180</v>
      </c>
      <c r="F6" s="105">
        <f>SUM(F3:F5)</f>
        <v>0</v>
      </c>
      <c r="G6" s="161"/>
      <c r="H6" s="47"/>
      <c r="I6" s="47"/>
      <c r="J6" s="47"/>
      <c r="K6" s="47"/>
    </row>
    <row r="7" spans="1:13" hidden="1">
      <c r="D7" s="102"/>
      <c r="E7" s="102"/>
      <c r="F7" s="102"/>
      <c r="G7" s="160"/>
      <c r="H7" s="27"/>
      <c r="I7" s="27"/>
      <c r="J7" s="27"/>
      <c r="K7" s="27"/>
    </row>
    <row r="8" spans="1:13" hidden="1">
      <c r="A8">
        <v>223</v>
      </c>
      <c r="B8">
        <v>8818</v>
      </c>
      <c r="C8" t="s">
        <v>90</v>
      </c>
      <c r="D8" s="102">
        <v>0</v>
      </c>
      <c r="E8" s="102">
        <v>-15703.72</v>
      </c>
      <c r="F8" s="102">
        <v>0</v>
      </c>
      <c r="G8" s="160"/>
      <c r="H8" s="27"/>
      <c r="I8" s="27"/>
      <c r="J8" s="27"/>
      <c r="K8" s="27"/>
    </row>
    <row r="9" spans="1:13" hidden="1">
      <c r="D9" s="105">
        <f>D8</f>
        <v>0</v>
      </c>
      <c r="E9" s="105">
        <f>E8</f>
        <v>-15703.72</v>
      </c>
      <c r="F9" s="105">
        <f>F8</f>
        <v>0</v>
      </c>
      <c r="G9" s="161"/>
      <c r="H9" s="47"/>
      <c r="I9" s="47"/>
      <c r="J9" s="47"/>
      <c r="K9" s="47"/>
    </row>
    <row r="10" spans="1:13" hidden="1">
      <c r="D10" s="102"/>
      <c r="E10" s="102"/>
      <c r="F10" s="102"/>
      <c r="G10" s="160"/>
      <c r="H10" s="27"/>
      <c r="I10" s="27"/>
      <c r="J10" s="27"/>
      <c r="K10" s="27"/>
    </row>
    <row r="11" spans="1:13" hidden="1">
      <c r="D11" s="102"/>
      <c r="E11" s="102"/>
      <c r="F11" s="102"/>
      <c r="G11" s="160"/>
      <c r="H11" s="27"/>
      <c r="I11" s="27"/>
      <c r="J11" s="27"/>
      <c r="K11" s="27"/>
    </row>
    <row r="12" spans="1:13" hidden="1">
      <c r="A12">
        <v>224</v>
      </c>
      <c r="B12">
        <v>281</v>
      </c>
      <c r="C12" t="s">
        <v>94</v>
      </c>
      <c r="D12" s="102">
        <v>0</v>
      </c>
      <c r="E12" s="102">
        <v>2324.81</v>
      </c>
      <c r="F12" s="102">
        <v>0</v>
      </c>
      <c r="G12" s="160"/>
      <c r="H12" s="27"/>
      <c r="I12" s="27"/>
      <c r="J12" s="27"/>
      <c r="K12" s="27"/>
    </row>
    <row r="13" spans="1:13" hidden="1">
      <c r="D13" s="105">
        <f>D12</f>
        <v>0</v>
      </c>
      <c r="E13" s="105">
        <f>E12</f>
        <v>2324.81</v>
      </c>
      <c r="F13" s="105">
        <f>F12</f>
        <v>0</v>
      </c>
      <c r="G13" s="161"/>
      <c r="H13" s="47"/>
      <c r="I13" s="47"/>
      <c r="J13" s="47"/>
      <c r="K13" s="47"/>
    </row>
    <row r="14" spans="1:13">
      <c r="D14" s="102"/>
      <c r="E14" s="102"/>
      <c r="F14" s="102"/>
      <c r="G14" s="102"/>
      <c r="H14" s="102"/>
      <c r="I14" s="239"/>
      <c r="J14" s="27"/>
      <c r="K14" s="27"/>
    </row>
    <row r="15" spans="1:13" s="1" customFormat="1">
      <c r="A15" s="1" t="s">
        <v>921</v>
      </c>
      <c r="D15" s="108"/>
      <c r="E15" s="108"/>
      <c r="F15" s="108"/>
      <c r="G15" s="108"/>
      <c r="H15" s="108"/>
      <c r="I15" s="238"/>
      <c r="J15" s="44"/>
      <c r="K15" s="44"/>
      <c r="L15" s="44"/>
      <c r="M15" s="44"/>
    </row>
    <row r="16" spans="1:13">
      <c r="A16" s="13">
        <v>244</v>
      </c>
      <c r="B16" s="13">
        <v>1</v>
      </c>
      <c r="C16" s="13" t="s">
        <v>16</v>
      </c>
      <c r="D16" s="104">
        <v>3606672</v>
      </c>
      <c r="E16" s="104">
        <v>2566156.83</v>
      </c>
      <c r="F16" s="98">
        <f>L16*5.8/100+L16</f>
        <v>4072490.8892100002</v>
      </c>
      <c r="G16" s="104">
        <v>1799837.46</v>
      </c>
      <c r="H16" s="104">
        <v>4116066.5417245473</v>
      </c>
      <c r="I16" s="235">
        <v>1799837.46</v>
      </c>
      <c r="J16" s="84">
        <f>SALARIES!J95</f>
        <v>4363030.5342280203</v>
      </c>
      <c r="K16" s="91"/>
      <c r="L16" s="140">
        <f>+E16/8*12</f>
        <v>3849235.2450000001</v>
      </c>
    </row>
    <row r="17" spans="1:12">
      <c r="A17" s="13">
        <v>244</v>
      </c>
      <c r="B17" s="13">
        <v>3</v>
      </c>
      <c r="C17" s="13" t="s">
        <v>56</v>
      </c>
      <c r="D17" s="104">
        <v>23525.8</v>
      </c>
      <c r="E17" s="104">
        <v>16747.62</v>
      </c>
      <c r="F17" s="104">
        <v>46578.47</v>
      </c>
      <c r="G17" s="104">
        <v>13534.72</v>
      </c>
      <c r="H17" s="104">
        <v>47076.862600458</v>
      </c>
      <c r="I17" s="235">
        <v>13534.72</v>
      </c>
      <c r="J17" s="84">
        <f>SALARIES!J96</f>
        <v>49901.47435648548</v>
      </c>
      <c r="K17" s="40"/>
      <c r="L17" s="140">
        <f t="shared" ref="L17:L28" si="0">+E17/8*12</f>
        <v>25121.43</v>
      </c>
    </row>
    <row r="18" spans="1:12">
      <c r="A18" s="13">
        <v>244</v>
      </c>
      <c r="B18" s="13">
        <v>4</v>
      </c>
      <c r="C18" s="13" t="s">
        <v>58</v>
      </c>
      <c r="D18" s="104">
        <v>1822.1</v>
      </c>
      <c r="E18" s="104">
        <v>911.05</v>
      </c>
      <c r="F18" s="104">
        <f t="shared" ref="F18:F28" si="1">L18*5.8/100+L18</f>
        <v>1445.8363499999998</v>
      </c>
      <c r="G18" s="104">
        <v>0</v>
      </c>
      <c r="H18" s="104">
        <v>1461.3067989449999</v>
      </c>
      <c r="I18" s="235">
        <v>0</v>
      </c>
      <c r="J18" s="84">
        <f>SALARIES!J97</f>
        <v>1548.9852068816999</v>
      </c>
      <c r="K18" s="40"/>
      <c r="L18" s="140">
        <f t="shared" si="0"/>
        <v>1366.5749999999998</v>
      </c>
    </row>
    <row r="19" spans="1:12">
      <c r="A19" s="13">
        <v>244</v>
      </c>
      <c r="B19" s="13">
        <v>6</v>
      </c>
      <c r="C19" s="13" t="s">
        <v>19</v>
      </c>
      <c r="D19" s="104">
        <v>210890.7</v>
      </c>
      <c r="E19" s="104">
        <v>148746.75</v>
      </c>
      <c r="F19" s="104">
        <f t="shared" si="1"/>
        <v>236061.09224999999</v>
      </c>
      <c r="G19" s="104">
        <v>105689.4</v>
      </c>
      <c r="H19" s="104">
        <v>238586.94593707498</v>
      </c>
      <c r="I19" s="235">
        <v>105689.4</v>
      </c>
      <c r="J19" s="84">
        <f>SALARIES!J98</f>
        <v>252902.16269329947</v>
      </c>
      <c r="K19" s="40"/>
      <c r="L19" s="140">
        <f t="shared" si="0"/>
        <v>223120.125</v>
      </c>
    </row>
    <row r="20" spans="1:12">
      <c r="A20" s="13">
        <v>244</v>
      </c>
      <c r="B20" s="13">
        <v>8</v>
      </c>
      <c r="C20" s="13" t="s">
        <v>173</v>
      </c>
      <c r="D20" s="104">
        <v>5236.4799999999996</v>
      </c>
      <c r="E20" s="104">
        <v>2618.2399999999998</v>
      </c>
      <c r="F20" s="104">
        <f t="shared" si="1"/>
        <v>4155.1468799999993</v>
      </c>
      <c r="G20" s="104">
        <v>13423.4</v>
      </c>
      <c r="H20" s="104">
        <v>4199.6069516159996</v>
      </c>
      <c r="I20" s="235">
        <v>13423.4</v>
      </c>
      <c r="J20" s="84">
        <f>SALARIES!J99</f>
        <v>4451.5833687129598</v>
      </c>
      <c r="K20" s="40"/>
      <c r="L20" s="140">
        <f t="shared" si="0"/>
        <v>3927.3599999999997</v>
      </c>
    </row>
    <row r="21" spans="1:12">
      <c r="A21" s="13">
        <v>244</v>
      </c>
      <c r="B21" s="13">
        <v>10</v>
      </c>
      <c r="C21" s="13" t="s">
        <v>22</v>
      </c>
      <c r="D21" s="104">
        <v>608153.84</v>
      </c>
      <c r="E21" s="104">
        <v>428023.86</v>
      </c>
      <c r="F21" s="98">
        <v>999794.43</v>
      </c>
      <c r="G21" s="104">
        <v>288165.31</v>
      </c>
      <c r="H21" s="104">
        <v>500000</v>
      </c>
      <c r="I21" s="235">
        <v>288165.31</v>
      </c>
      <c r="J21" s="84">
        <f>SALARIES!J100</f>
        <v>530000</v>
      </c>
      <c r="K21" s="91"/>
      <c r="L21" s="140">
        <f t="shared" si="0"/>
        <v>642035.79</v>
      </c>
    </row>
    <row r="22" spans="1:12">
      <c r="A22" s="13">
        <v>244</v>
      </c>
      <c r="B22" s="13">
        <v>11</v>
      </c>
      <c r="C22" s="13" t="s">
        <v>24</v>
      </c>
      <c r="D22" s="104">
        <v>8448.2000000000007</v>
      </c>
      <c r="E22" s="104">
        <v>8448.2000000000007</v>
      </c>
      <c r="F22" s="104">
        <f t="shared" si="1"/>
        <v>13407.2934</v>
      </c>
      <c r="G22" s="104">
        <v>26997.25</v>
      </c>
      <c r="H22" s="104">
        <v>13550.751439380001</v>
      </c>
      <c r="I22" s="235">
        <v>26997.25</v>
      </c>
      <c r="J22" s="84">
        <f>SALARIES!J101</f>
        <v>14363.7965257428</v>
      </c>
      <c r="K22" s="40"/>
      <c r="L22" s="140">
        <f t="shared" si="0"/>
        <v>12672.300000000001</v>
      </c>
    </row>
    <row r="23" spans="1:12">
      <c r="A23" s="13">
        <v>244</v>
      </c>
      <c r="B23" s="13">
        <v>14</v>
      </c>
      <c r="C23" s="13" t="s">
        <v>25</v>
      </c>
      <c r="D23" s="104">
        <v>277910.15999999997</v>
      </c>
      <c r="E23" s="104">
        <v>195875.08</v>
      </c>
      <c r="F23" s="104">
        <f t="shared" si="1"/>
        <v>310853.75196000002</v>
      </c>
      <c r="G23" s="104">
        <v>141371.98000000001</v>
      </c>
      <c r="H23" s="104">
        <v>314179.88710597204</v>
      </c>
      <c r="I23" s="235">
        <v>141371.98000000001</v>
      </c>
      <c r="J23" s="84">
        <f>SALARIES!J102</f>
        <v>333030.68033233035</v>
      </c>
      <c r="K23" s="40"/>
      <c r="L23" s="140">
        <f t="shared" si="0"/>
        <v>293812.62</v>
      </c>
    </row>
    <row r="24" spans="1:12">
      <c r="A24" s="13">
        <v>244</v>
      </c>
      <c r="B24" s="13">
        <v>16</v>
      </c>
      <c r="C24" s="13" t="s">
        <v>27</v>
      </c>
      <c r="D24" s="104">
        <v>28302.44</v>
      </c>
      <c r="E24" s="104">
        <v>20121.740000000002</v>
      </c>
      <c r="F24" s="104">
        <f t="shared" si="1"/>
        <v>31933.201380000002</v>
      </c>
      <c r="G24" s="104">
        <v>14052.42</v>
      </c>
      <c r="H24" s="104">
        <v>32274.886634766</v>
      </c>
      <c r="I24" s="235">
        <v>14052.42</v>
      </c>
      <c r="J24" s="84">
        <f>SALARIES!J103</f>
        <v>34211.379832851962</v>
      </c>
      <c r="K24" s="40"/>
      <c r="L24" s="140">
        <f t="shared" si="0"/>
        <v>30182.61</v>
      </c>
    </row>
    <row r="25" spans="1:12">
      <c r="A25" s="13">
        <v>244</v>
      </c>
      <c r="B25" s="13">
        <v>17</v>
      </c>
      <c r="C25" s="13" t="s">
        <v>29</v>
      </c>
      <c r="D25" s="104">
        <v>39772</v>
      </c>
      <c r="E25" s="104">
        <v>-7619.6</v>
      </c>
      <c r="F25" s="104">
        <v>0</v>
      </c>
      <c r="G25" s="104">
        <v>14605</v>
      </c>
      <c r="H25" s="104">
        <v>0</v>
      </c>
      <c r="I25" s="235">
        <v>14605</v>
      </c>
      <c r="J25" s="84">
        <f>SALARIES!J104</f>
        <v>0</v>
      </c>
      <c r="K25" s="40"/>
      <c r="L25" s="140">
        <f t="shared" si="0"/>
        <v>-11429.400000000001</v>
      </c>
    </row>
    <row r="26" spans="1:12">
      <c r="A26" s="13">
        <v>244</v>
      </c>
      <c r="B26" s="13">
        <v>18</v>
      </c>
      <c r="C26" s="13" t="s">
        <v>31</v>
      </c>
      <c r="D26" s="104">
        <v>274277.59999999998</v>
      </c>
      <c r="E26" s="104">
        <v>160101.07</v>
      </c>
      <c r="F26" s="104">
        <f t="shared" si="1"/>
        <v>254080.39809</v>
      </c>
      <c r="G26" s="104">
        <v>144740.38</v>
      </c>
      <c r="H26" s="104">
        <v>256799.05834956301</v>
      </c>
      <c r="I26" s="235">
        <v>144740.38</v>
      </c>
      <c r="J26" s="84">
        <f>SALARIES!J105</f>
        <v>272207.00185053679</v>
      </c>
      <c r="K26" s="40"/>
      <c r="L26" s="140">
        <f t="shared" si="0"/>
        <v>240151.60500000001</v>
      </c>
    </row>
    <row r="27" spans="1:12">
      <c r="A27" s="13">
        <v>244</v>
      </c>
      <c r="B27" s="13">
        <v>102</v>
      </c>
      <c r="C27" s="13" t="s">
        <v>66</v>
      </c>
      <c r="D27" s="104">
        <v>42131.360000000001</v>
      </c>
      <c r="E27" s="104">
        <v>29547.56</v>
      </c>
      <c r="F27" s="104">
        <f t="shared" si="1"/>
        <v>46891.977720000003</v>
      </c>
      <c r="G27" s="104">
        <v>20987.54</v>
      </c>
      <c r="H27" s="104">
        <v>47393.721881604004</v>
      </c>
      <c r="I27" s="235">
        <v>20987.54</v>
      </c>
      <c r="J27" s="84">
        <f>SALARIES!J106</f>
        <v>50237.345194500245</v>
      </c>
      <c r="K27" s="40"/>
      <c r="L27" s="140">
        <f t="shared" si="0"/>
        <v>44321.340000000004</v>
      </c>
    </row>
    <row r="28" spans="1:12">
      <c r="A28" s="13">
        <v>244</v>
      </c>
      <c r="B28" s="13">
        <v>104</v>
      </c>
      <c r="C28" s="13" t="s">
        <v>34</v>
      </c>
      <c r="D28" s="104">
        <v>1564.36</v>
      </c>
      <c r="E28" s="104">
        <v>1133.02</v>
      </c>
      <c r="F28" s="104">
        <f t="shared" si="1"/>
        <v>1798.10274</v>
      </c>
      <c r="G28" s="104">
        <v>848.3</v>
      </c>
      <c r="H28" s="104">
        <v>1817.3424393180001</v>
      </c>
      <c r="I28" s="235">
        <v>848.3</v>
      </c>
      <c r="J28" s="84">
        <f>SALARIES!J107</f>
        <v>1926.3829856770801</v>
      </c>
      <c r="K28" s="40"/>
      <c r="L28" s="140">
        <f t="shared" si="0"/>
        <v>1699.53</v>
      </c>
    </row>
    <row r="29" spans="1:12">
      <c r="D29" s="105">
        <f t="shared" ref="D29:J29" si="2">SUM(D16:D28)</f>
        <v>5128707.040000001</v>
      </c>
      <c r="E29" s="105">
        <f t="shared" si="2"/>
        <v>3570811.4200000004</v>
      </c>
      <c r="F29" s="105">
        <f t="shared" si="2"/>
        <v>6019490.5899800006</v>
      </c>
      <c r="G29" s="105">
        <f t="shared" si="2"/>
        <v>2584253.1599999992</v>
      </c>
      <c r="H29" s="105">
        <f t="shared" si="2"/>
        <v>5573406.9118632441</v>
      </c>
      <c r="I29" s="236">
        <f t="shared" si="2"/>
        <v>2584253.1599999992</v>
      </c>
      <c r="J29" s="74">
        <f t="shared" si="2"/>
        <v>5907811.326575038</v>
      </c>
      <c r="K29" s="74"/>
    </row>
    <row r="30" spans="1:12">
      <c r="D30" s="105"/>
      <c r="E30" s="105"/>
      <c r="F30" s="105"/>
      <c r="G30" s="105"/>
      <c r="H30" s="105"/>
      <c r="I30" s="236"/>
      <c r="J30" s="47"/>
      <c r="K30" s="47"/>
    </row>
    <row r="31" spans="1:12">
      <c r="A31" s="13">
        <v>244</v>
      </c>
      <c r="B31" s="13">
        <v>210</v>
      </c>
      <c r="C31" s="13" t="s">
        <v>44</v>
      </c>
      <c r="D31" s="104">
        <v>2397080.89</v>
      </c>
      <c r="E31" s="104">
        <v>0</v>
      </c>
      <c r="F31" s="104">
        <v>2492964.13</v>
      </c>
      <c r="G31" s="104">
        <v>0</v>
      </c>
      <c r="H31" s="104">
        <f>'NON CASH'!H8</f>
        <v>2617612.3365000002</v>
      </c>
      <c r="I31" s="235"/>
      <c r="J31" s="80">
        <f>'NON CASH'!I8</f>
        <v>2669964.58323</v>
      </c>
      <c r="K31" s="40"/>
      <c r="L31" s="140">
        <f>+E31/8*12</f>
        <v>0</v>
      </c>
    </row>
    <row r="32" spans="1:12">
      <c r="A32" s="42"/>
      <c r="B32" s="42"/>
      <c r="C32" s="42"/>
      <c r="D32" s="106"/>
      <c r="E32" s="106"/>
      <c r="F32" s="107">
        <f>F31</f>
        <v>2492964.13</v>
      </c>
      <c r="G32" s="107">
        <f>G31</f>
        <v>0</v>
      </c>
      <c r="H32" s="107">
        <f>H31</f>
        <v>2617612.3365000002</v>
      </c>
      <c r="I32" s="237">
        <f>I31</f>
        <v>0</v>
      </c>
      <c r="J32" s="92">
        <f>J31</f>
        <v>2669964.58323</v>
      </c>
      <c r="K32" s="92"/>
    </row>
    <row r="33" spans="1:13">
      <c r="A33" s="39" t="s">
        <v>1034</v>
      </c>
      <c r="B33" s="42"/>
      <c r="C33" s="42"/>
      <c r="D33" s="106"/>
      <c r="E33" s="106"/>
      <c r="F33" s="107"/>
      <c r="G33" s="107"/>
      <c r="H33" s="107"/>
      <c r="I33" s="237"/>
      <c r="J33" s="55"/>
      <c r="K33" s="55"/>
    </row>
    <row r="34" spans="1:13">
      <c r="A34" s="13">
        <v>244</v>
      </c>
      <c r="B34" s="13">
        <v>290</v>
      </c>
      <c r="C34" s="13" t="s">
        <v>223</v>
      </c>
      <c r="D34" s="104">
        <v>1150000</v>
      </c>
      <c r="E34" s="104">
        <v>110552.71</v>
      </c>
      <c r="F34" s="104">
        <v>1016000</v>
      </c>
      <c r="G34" s="104">
        <v>106578.94</v>
      </c>
      <c r="H34" s="104">
        <f>'CONTRACTED SERVICES'!H4</f>
        <v>213158</v>
      </c>
      <c r="I34" s="235">
        <v>143421.04999999999</v>
      </c>
      <c r="J34" s="80">
        <v>245864.65714285709</v>
      </c>
      <c r="K34" s="40">
        <f>I34/7*12</f>
        <v>245864.65714285709</v>
      </c>
      <c r="L34" s="140">
        <f>+E34/8*12</f>
        <v>165829.065</v>
      </c>
    </row>
    <row r="35" spans="1:13">
      <c r="A35" s="13">
        <v>244</v>
      </c>
      <c r="B35" s="13">
        <v>291</v>
      </c>
      <c r="C35" s="13" t="s">
        <v>224</v>
      </c>
      <c r="D35" s="104">
        <v>2000000</v>
      </c>
      <c r="E35" s="104">
        <v>1373203.36</v>
      </c>
      <c r="F35" s="104">
        <v>2777000</v>
      </c>
      <c r="G35" s="104">
        <v>900104.95</v>
      </c>
      <c r="H35" s="104">
        <f>'CONTRACTED SERVICES'!H5</f>
        <v>1800210</v>
      </c>
      <c r="I35" s="235">
        <v>1008517.27</v>
      </c>
      <c r="J35" s="80">
        <v>1901886.7485714287</v>
      </c>
      <c r="K35" s="40">
        <f>I35/7*12+173000</f>
        <v>1901886.7485714287</v>
      </c>
      <c r="L35" s="140">
        <f>+E35/8*12</f>
        <v>2059805.04</v>
      </c>
    </row>
    <row r="36" spans="1:13">
      <c r="A36" s="13">
        <v>244</v>
      </c>
      <c r="B36" s="13">
        <v>209</v>
      </c>
      <c r="C36" s="13" t="s">
        <v>209</v>
      </c>
      <c r="D36" s="104">
        <v>980000</v>
      </c>
      <c r="E36" s="104">
        <v>764544.91</v>
      </c>
      <c r="F36" s="104">
        <v>441000</v>
      </c>
      <c r="G36" s="104">
        <v>366483.01</v>
      </c>
      <c r="H36" s="104">
        <f>'CONTRACTED SERVICES'!H6</f>
        <v>732966</v>
      </c>
      <c r="I36" s="235">
        <v>480512.26</v>
      </c>
      <c r="J36" s="80">
        <f>K36</f>
        <v>907735.30285714287</v>
      </c>
      <c r="K36" s="40">
        <f>I36/7*12+84000</f>
        <v>907735.30285714287</v>
      </c>
      <c r="L36" s="140">
        <f>+E36/8*12</f>
        <v>1146817.365</v>
      </c>
    </row>
    <row r="37" spans="1:13">
      <c r="A37" s="13">
        <v>244</v>
      </c>
      <c r="B37" s="13">
        <v>253</v>
      </c>
      <c r="C37" s="13" t="s">
        <v>211</v>
      </c>
      <c r="D37" s="104">
        <v>2000000</v>
      </c>
      <c r="E37" s="104">
        <v>1423760.41</v>
      </c>
      <c r="F37" s="104">
        <v>0</v>
      </c>
      <c r="G37" s="104">
        <v>327781.86</v>
      </c>
      <c r="H37" s="104">
        <f>'CONTRACTED SERVICES'!H7</f>
        <v>655564</v>
      </c>
      <c r="I37" s="235">
        <v>332027.48</v>
      </c>
      <c r="J37" s="80">
        <v>200000</v>
      </c>
      <c r="K37" s="40">
        <f>I37/7*12</f>
        <v>569189.96571428562</v>
      </c>
      <c r="L37" s="140">
        <f>+E37/8*12</f>
        <v>2135640.6149999998</v>
      </c>
    </row>
    <row r="38" spans="1:13">
      <c r="A38" s="13">
        <v>244</v>
      </c>
      <c r="B38" s="13">
        <v>173</v>
      </c>
      <c r="C38" s="13" t="s">
        <v>193</v>
      </c>
      <c r="D38" s="104">
        <v>100000</v>
      </c>
      <c r="E38" s="104">
        <v>8094.87</v>
      </c>
      <c r="F38" s="104">
        <v>200000</v>
      </c>
      <c r="G38" s="104">
        <v>1002.6</v>
      </c>
      <c r="H38" s="104">
        <f>'CONTRACTED SERVICES'!H8</f>
        <v>200000</v>
      </c>
      <c r="I38" s="235">
        <v>1792.6</v>
      </c>
      <c r="J38" s="80">
        <v>10000</v>
      </c>
      <c r="K38" s="40">
        <f>I38/7*12</f>
        <v>3073.0285714285715</v>
      </c>
      <c r="L38" s="140">
        <f>+E38/8*12</f>
        <v>12142.305</v>
      </c>
    </row>
    <row r="39" spans="1:13">
      <c r="A39" s="42"/>
      <c r="B39" s="42"/>
      <c r="C39" s="42"/>
      <c r="D39" s="107">
        <f t="shared" ref="D39:J39" si="3">SUM(D34:D38)</f>
        <v>6230000</v>
      </c>
      <c r="E39" s="107">
        <f t="shared" si="3"/>
        <v>3680156.26</v>
      </c>
      <c r="F39" s="107">
        <f t="shared" si="3"/>
        <v>4434000</v>
      </c>
      <c r="G39" s="107">
        <f t="shared" si="3"/>
        <v>1701951.3599999999</v>
      </c>
      <c r="H39" s="107">
        <f t="shared" si="3"/>
        <v>3601898</v>
      </c>
      <c r="I39" s="237">
        <f t="shared" si="3"/>
        <v>1966270.6600000001</v>
      </c>
      <c r="J39" s="92">
        <f t="shared" si="3"/>
        <v>3265486.7085714284</v>
      </c>
      <c r="K39" s="92"/>
    </row>
    <row r="40" spans="1:13">
      <c r="A40" s="42"/>
      <c r="B40" s="42"/>
      <c r="C40" s="42"/>
      <c r="D40" s="106"/>
      <c r="E40" s="106"/>
      <c r="F40" s="106"/>
      <c r="G40" s="106"/>
      <c r="H40" s="106"/>
      <c r="I40" s="241"/>
      <c r="J40" s="40"/>
      <c r="K40" s="40"/>
    </row>
    <row r="41" spans="1:13" s="1" customFormat="1">
      <c r="A41" s="1" t="s">
        <v>924</v>
      </c>
      <c r="D41" s="108"/>
      <c r="E41" s="108"/>
      <c r="F41" s="108"/>
      <c r="G41" s="108"/>
      <c r="H41" s="108"/>
      <c r="I41" s="238"/>
      <c r="J41" s="44"/>
      <c r="K41" s="44"/>
      <c r="L41" s="44"/>
      <c r="M41" s="44"/>
    </row>
    <row r="42" spans="1:13">
      <c r="A42" s="13">
        <v>244</v>
      </c>
      <c r="B42" s="13">
        <v>109</v>
      </c>
      <c r="C42" s="13" t="s">
        <v>183</v>
      </c>
      <c r="D42" s="104">
        <v>128750</v>
      </c>
      <c r="E42" s="104">
        <v>2183</v>
      </c>
      <c r="F42" s="104">
        <v>40000</v>
      </c>
      <c r="G42" s="104">
        <v>5323</v>
      </c>
      <c r="H42" s="104">
        <v>40000</v>
      </c>
      <c r="I42" s="98">
        <v>5323</v>
      </c>
      <c r="J42" s="80">
        <v>40000</v>
      </c>
      <c r="K42" s="40">
        <f>I42/7*12</f>
        <v>9125.1428571428569</v>
      </c>
      <c r="L42" s="140">
        <f>+E42/8*12</f>
        <v>3274.5</v>
      </c>
    </row>
    <row r="43" spans="1:13">
      <c r="A43" s="13">
        <v>244</v>
      </c>
      <c r="B43" s="13">
        <v>111</v>
      </c>
      <c r="C43" s="13" t="s">
        <v>185</v>
      </c>
      <c r="D43" s="104">
        <v>250000</v>
      </c>
      <c r="E43" s="104">
        <v>99649.38</v>
      </c>
      <c r="F43" s="104">
        <v>170000</v>
      </c>
      <c r="G43" s="104">
        <v>48461.21</v>
      </c>
      <c r="H43" s="104">
        <v>100000</v>
      </c>
      <c r="I43" s="235">
        <v>48461.21</v>
      </c>
      <c r="J43" s="80">
        <v>100000</v>
      </c>
      <c r="K43" s="40">
        <f t="shared" ref="K43:K60" si="4">I43/7*12</f>
        <v>83076.36</v>
      </c>
      <c r="L43" s="140">
        <f t="shared" ref="L43:L60" si="5">+E43/8*12</f>
        <v>149474.07</v>
      </c>
    </row>
    <row r="44" spans="1:13">
      <c r="A44" s="13">
        <v>244</v>
      </c>
      <c r="B44" s="13">
        <v>123</v>
      </c>
      <c r="C44" s="13" t="s">
        <v>187</v>
      </c>
      <c r="D44" s="104">
        <v>700000</v>
      </c>
      <c r="E44" s="104">
        <v>401261.6</v>
      </c>
      <c r="F44" s="104">
        <v>400000</v>
      </c>
      <c r="G44" s="104">
        <v>2480.7399999999998</v>
      </c>
      <c r="H44" s="104">
        <v>20000</v>
      </c>
      <c r="I44" s="235">
        <v>2480.7399999999998</v>
      </c>
      <c r="J44" s="80">
        <v>100000</v>
      </c>
      <c r="K44" s="40">
        <f t="shared" si="4"/>
        <v>4252.6971428571424</v>
      </c>
      <c r="L44" s="140">
        <f t="shared" si="5"/>
        <v>601892.39999999991</v>
      </c>
    </row>
    <row r="45" spans="1:13">
      <c r="A45" s="337">
        <v>244</v>
      </c>
      <c r="B45" s="337">
        <v>135</v>
      </c>
      <c r="C45" s="337" t="s">
        <v>189</v>
      </c>
      <c r="D45" s="338">
        <v>100000</v>
      </c>
      <c r="E45" s="338">
        <v>80668.69</v>
      </c>
      <c r="F45" s="338">
        <f>L45*6/100+L45</f>
        <v>128263.21710000001</v>
      </c>
      <c r="G45" s="338">
        <v>79653.06</v>
      </c>
      <c r="H45" s="338">
        <v>160000</v>
      </c>
      <c r="I45" s="338">
        <v>84076.63</v>
      </c>
      <c r="J45" s="338">
        <v>3080788.54</v>
      </c>
      <c r="K45" s="40">
        <f t="shared" si="4"/>
        <v>144131.36571428573</v>
      </c>
      <c r="L45" s="140">
        <f t="shared" si="5"/>
        <v>121003.035</v>
      </c>
    </row>
    <row r="46" spans="1:13">
      <c r="A46" s="13">
        <v>244</v>
      </c>
      <c r="B46" s="13">
        <v>172</v>
      </c>
      <c r="C46" s="13" t="s">
        <v>191</v>
      </c>
      <c r="D46" s="104">
        <v>2300000</v>
      </c>
      <c r="E46" s="104">
        <v>377615.83</v>
      </c>
      <c r="F46" s="104">
        <v>1200000</v>
      </c>
      <c r="G46" s="104">
        <v>587793.82999999996</v>
      </c>
      <c r="H46" s="104">
        <v>1200000</v>
      </c>
      <c r="I46" s="235">
        <v>612536.43999999994</v>
      </c>
      <c r="J46" s="80">
        <v>1000000</v>
      </c>
      <c r="K46" s="40">
        <f t="shared" si="4"/>
        <v>1050062.4685714284</v>
      </c>
      <c r="L46" s="140">
        <f t="shared" si="5"/>
        <v>566423.745</v>
      </c>
    </row>
    <row r="47" spans="1:13">
      <c r="A47" s="13">
        <v>244</v>
      </c>
      <c r="B47" s="13">
        <v>175</v>
      </c>
      <c r="C47" s="13" t="s">
        <v>195</v>
      </c>
      <c r="D47" s="104">
        <v>9200</v>
      </c>
      <c r="E47" s="104">
        <v>5296.28</v>
      </c>
      <c r="F47" s="104">
        <v>9200</v>
      </c>
      <c r="G47" s="104">
        <v>12150.82</v>
      </c>
      <c r="H47" s="104">
        <v>24000</v>
      </c>
      <c r="I47" s="235">
        <v>12360.03</v>
      </c>
      <c r="J47" s="80">
        <v>25000</v>
      </c>
      <c r="K47" s="40">
        <f t="shared" si="4"/>
        <v>21188.622857142858</v>
      </c>
      <c r="L47" s="140">
        <f t="shared" si="5"/>
        <v>7944.42</v>
      </c>
    </row>
    <row r="48" spans="1:13">
      <c r="A48" s="13">
        <v>244</v>
      </c>
      <c r="B48" s="13">
        <v>179</v>
      </c>
      <c r="C48" s="13" t="s">
        <v>73</v>
      </c>
      <c r="D48" s="104">
        <v>200000</v>
      </c>
      <c r="E48" s="104">
        <v>52656.28</v>
      </c>
      <c r="F48" s="104">
        <v>60000</v>
      </c>
      <c r="G48" s="104">
        <v>14977.62</v>
      </c>
      <c r="H48" s="104">
        <v>40000</v>
      </c>
      <c r="I48" s="235">
        <v>14977.62</v>
      </c>
      <c r="J48" s="80">
        <v>30000</v>
      </c>
      <c r="K48" s="40">
        <f t="shared" si="4"/>
        <v>25675.920000000006</v>
      </c>
      <c r="L48" s="140">
        <f t="shared" si="5"/>
        <v>78984.42</v>
      </c>
    </row>
    <row r="49" spans="1:13">
      <c r="A49" s="13">
        <v>244</v>
      </c>
      <c r="B49" s="13">
        <v>180</v>
      </c>
      <c r="C49" s="13" t="s">
        <v>198</v>
      </c>
      <c r="D49" s="104">
        <v>150000</v>
      </c>
      <c r="E49" s="104">
        <v>0</v>
      </c>
      <c r="F49" s="104">
        <v>50000</v>
      </c>
      <c r="G49" s="104">
        <v>0</v>
      </c>
      <c r="H49" s="104">
        <v>50000</v>
      </c>
      <c r="I49" s="235">
        <v>0</v>
      </c>
      <c r="J49" s="80">
        <v>25000</v>
      </c>
      <c r="K49" s="40">
        <f t="shared" si="4"/>
        <v>0</v>
      </c>
      <c r="L49" s="140">
        <f t="shared" si="5"/>
        <v>0</v>
      </c>
    </row>
    <row r="50" spans="1:13">
      <c r="A50" s="13">
        <v>244</v>
      </c>
      <c r="B50" s="13">
        <v>182</v>
      </c>
      <c r="C50" s="13" t="s">
        <v>199</v>
      </c>
      <c r="D50" s="104">
        <v>900000</v>
      </c>
      <c r="E50" s="104">
        <v>487050.91</v>
      </c>
      <c r="F50" s="104">
        <v>700000</v>
      </c>
      <c r="G50" s="104">
        <v>147156.9</v>
      </c>
      <c r="H50" s="104">
        <v>500000</v>
      </c>
      <c r="I50" s="235">
        <v>150153.39000000001</v>
      </c>
      <c r="J50" s="80">
        <v>500000</v>
      </c>
      <c r="K50" s="40">
        <f t="shared" si="4"/>
        <v>257405.81142857144</v>
      </c>
      <c r="L50" s="140">
        <f t="shared" si="5"/>
        <v>730576.36499999999</v>
      </c>
    </row>
    <row r="51" spans="1:13">
      <c r="A51" s="13">
        <v>244</v>
      </c>
      <c r="B51" s="13">
        <v>191</v>
      </c>
      <c r="C51" s="13" t="s">
        <v>201</v>
      </c>
      <c r="D51" s="104">
        <v>6000</v>
      </c>
      <c r="E51" s="104">
        <v>1408</v>
      </c>
      <c r="F51" s="104">
        <v>4000</v>
      </c>
      <c r="G51" s="104">
        <v>9210.5300000000007</v>
      </c>
      <c r="H51" s="104">
        <v>17000</v>
      </c>
      <c r="I51" s="235">
        <v>10859.65</v>
      </c>
      <c r="J51" s="80">
        <v>20000</v>
      </c>
      <c r="K51" s="40">
        <f t="shared" si="4"/>
        <v>18616.542857142857</v>
      </c>
      <c r="L51" s="140">
        <f t="shared" si="5"/>
        <v>2112</v>
      </c>
    </row>
    <row r="52" spans="1:13">
      <c r="A52" s="13">
        <v>244</v>
      </c>
      <c r="B52" s="13">
        <v>193</v>
      </c>
      <c r="C52" s="13" t="s">
        <v>36</v>
      </c>
      <c r="D52" s="104">
        <v>2300000</v>
      </c>
      <c r="E52" s="104">
        <v>642370.92000000004</v>
      </c>
      <c r="F52" s="104">
        <v>1500000</v>
      </c>
      <c r="G52" s="104">
        <v>8002.2</v>
      </c>
      <c r="H52" s="104">
        <v>1000000</v>
      </c>
      <c r="I52" s="98">
        <v>8002.2</v>
      </c>
      <c r="J52" s="98">
        <v>0</v>
      </c>
      <c r="K52" s="40">
        <f t="shared" si="4"/>
        <v>13718.057142857142</v>
      </c>
      <c r="L52" s="140">
        <f t="shared" si="5"/>
        <v>963556.38000000012</v>
      </c>
    </row>
    <row r="53" spans="1:13">
      <c r="A53" s="13">
        <v>244</v>
      </c>
      <c r="B53" s="13">
        <v>195</v>
      </c>
      <c r="C53" s="13" t="s">
        <v>38</v>
      </c>
      <c r="D53" s="104">
        <v>219600</v>
      </c>
      <c r="E53" s="104">
        <v>142869.91</v>
      </c>
      <c r="F53" s="104">
        <v>219600</v>
      </c>
      <c r="G53" s="104">
        <v>111770.18</v>
      </c>
      <c r="H53" s="104">
        <v>219600</v>
      </c>
      <c r="I53" s="235">
        <v>113656.09</v>
      </c>
      <c r="J53" s="80">
        <v>200000</v>
      </c>
      <c r="K53" s="40">
        <f t="shared" si="4"/>
        <v>194839.01142857142</v>
      </c>
      <c r="L53" s="140">
        <f t="shared" si="5"/>
        <v>214304.86499999999</v>
      </c>
    </row>
    <row r="54" spans="1:13">
      <c r="A54" s="13">
        <v>244</v>
      </c>
      <c r="B54" s="13">
        <v>201</v>
      </c>
      <c r="C54" s="13" t="s">
        <v>40</v>
      </c>
      <c r="D54" s="104">
        <v>106000</v>
      </c>
      <c r="E54" s="104">
        <v>11450</v>
      </c>
      <c r="F54" s="104">
        <v>106000</v>
      </c>
      <c r="G54" s="104">
        <v>101095</v>
      </c>
      <c r="H54" s="104">
        <v>200000</v>
      </c>
      <c r="I54" s="235">
        <v>101095</v>
      </c>
      <c r="J54" s="80">
        <v>200000</v>
      </c>
      <c r="K54" s="40">
        <f t="shared" si="4"/>
        <v>173305.71428571429</v>
      </c>
      <c r="L54" s="140">
        <f t="shared" si="5"/>
        <v>17175</v>
      </c>
    </row>
    <row r="55" spans="1:13">
      <c r="A55" s="13">
        <v>244</v>
      </c>
      <c r="B55" s="13">
        <v>204</v>
      </c>
      <c r="C55" s="13" t="s">
        <v>42</v>
      </c>
      <c r="D55" s="104">
        <v>130000</v>
      </c>
      <c r="E55" s="104">
        <v>104071.8</v>
      </c>
      <c r="F55" s="104">
        <v>157000</v>
      </c>
      <c r="G55" s="104">
        <v>85233.15</v>
      </c>
      <c r="H55" s="104">
        <v>157000</v>
      </c>
      <c r="I55" s="235">
        <v>114680.45</v>
      </c>
      <c r="J55" s="80">
        <v>200000</v>
      </c>
      <c r="K55" s="40">
        <f t="shared" si="4"/>
        <v>196595.05714285714</v>
      </c>
      <c r="L55" s="140">
        <f t="shared" si="5"/>
        <v>156107.70000000001</v>
      </c>
    </row>
    <row r="56" spans="1:13">
      <c r="A56" s="13">
        <v>244</v>
      </c>
      <c r="B56" s="13">
        <v>206</v>
      </c>
      <c r="C56" s="13" t="s">
        <v>141</v>
      </c>
      <c r="D56" s="104">
        <v>500000</v>
      </c>
      <c r="E56" s="104">
        <v>7100</v>
      </c>
      <c r="F56" s="104">
        <v>300000</v>
      </c>
      <c r="G56" s="104">
        <v>18000</v>
      </c>
      <c r="H56" s="104">
        <v>40000</v>
      </c>
      <c r="I56" s="235">
        <v>18000</v>
      </c>
      <c r="J56" s="80">
        <v>50000</v>
      </c>
      <c r="K56" s="40">
        <f t="shared" si="4"/>
        <v>30857.142857142859</v>
      </c>
      <c r="L56" s="140">
        <f t="shared" si="5"/>
        <v>10650</v>
      </c>
    </row>
    <row r="57" spans="1:13">
      <c r="A57" s="13">
        <v>244</v>
      </c>
      <c r="B57" s="13">
        <v>208</v>
      </c>
      <c r="C57" s="13" t="s">
        <v>207</v>
      </c>
      <c r="D57" s="104">
        <v>192000</v>
      </c>
      <c r="E57" s="104">
        <v>107533.5</v>
      </c>
      <c r="F57" s="104">
        <v>162000</v>
      </c>
      <c r="G57" s="104">
        <v>78346.149999999994</v>
      </c>
      <c r="H57" s="104">
        <v>162000</v>
      </c>
      <c r="I57" s="235">
        <v>105673.1</v>
      </c>
      <c r="J57" s="80">
        <v>190000</v>
      </c>
      <c r="K57" s="40">
        <f t="shared" si="4"/>
        <v>181153.88571428572</v>
      </c>
      <c r="L57" s="140">
        <f t="shared" si="5"/>
        <v>161300.25</v>
      </c>
    </row>
    <row r="58" spans="1:13">
      <c r="A58" s="13">
        <v>244</v>
      </c>
      <c r="B58" s="13">
        <v>262</v>
      </c>
      <c r="C58" s="13" t="s">
        <v>212</v>
      </c>
      <c r="D58" s="104">
        <v>1000000</v>
      </c>
      <c r="E58" s="104">
        <v>75990</v>
      </c>
      <c r="F58" s="98">
        <v>1000000</v>
      </c>
      <c r="G58" s="104">
        <v>38969.050000000003</v>
      </c>
      <c r="H58" s="104">
        <v>1000000</v>
      </c>
      <c r="I58" s="235">
        <v>171322.03</v>
      </c>
      <c r="J58" s="84">
        <v>1000000</v>
      </c>
      <c r="K58" s="40">
        <f t="shared" si="4"/>
        <v>293694.90857142856</v>
      </c>
      <c r="L58" s="140">
        <f t="shared" si="5"/>
        <v>113985</v>
      </c>
    </row>
    <row r="59" spans="1:13">
      <c r="A59" s="13">
        <v>244</v>
      </c>
      <c r="B59" s="13">
        <v>456</v>
      </c>
      <c r="C59" s="13" t="s">
        <v>226</v>
      </c>
      <c r="D59" s="104">
        <v>150000</v>
      </c>
      <c r="E59" s="104">
        <v>604.07000000000005</v>
      </c>
      <c r="F59" s="104">
        <v>75000</v>
      </c>
      <c r="G59" s="104">
        <v>5166.67</v>
      </c>
      <c r="H59" s="104">
        <v>75000</v>
      </c>
      <c r="I59" s="235">
        <v>34666.67</v>
      </c>
      <c r="J59" s="80">
        <v>65000</v>
      </c>
      <c r="K59" s="40">
        <f t="shared" si="4"/>
        <v>59428.577142857132</v>
      </c>
      <c r="L59" s="140">
        <f t="shared" si="5"/>
        <v>906.10500000000002</v>
      </c>
    </row>
    <row r="60" spans="1:13">
      <c r="A60" s="13">
        <v>244</v>
      </c>
      <c r="B60" s="13">
        <v>457</v>
      </c>
      <c r="C60" s="13" t="s">
        <v>228</v>
      </c>
      <c r="D60" s="104">
        <v>180000</v>
      </c>
      <c r="E60" s="111">
        <v>-8340.16</v>
      </c>
      <c r="F60" s="104">
        <v>0</v>
      </c>
      <c r="G60" s="104"/>
      <c r="H60" s="104">
        <v>0</v>
      </c>
      <c r="I60" s="235"/>
      <c r="J60" s="80"/>
      <c r="K60" s="40">
        <f t="shared" si="4"/>
        <v>0</v>
      </c>
      <c r="L60" s="140">
        <f t="shared" si="5"/>
        <v>-12510.24</v>
      </c>
    </row>
    <row r="61" spans="1:13">
      <c r="D61" s="105">
        <f t="shared" ref="D61:J61" si="6">SUM(D42:D60)</f>
        <v>9521550</v>
      </c>
      <c r="E61" s="105">
        <f t="shared" si="6"/>
        <v>2591440.0099999998</v>
      </c>
      <c r="F61" s="105">
        <f t="shared" si="6"/>
        <v>6281063.2171</v>
      </c>
      <c r="G61" s="105">
        <f t="shared" si="6"/>
        <v>1353790.1099999996</v>
      </c>
      <c r="H61" s="105">
        <f t="shared" si="6"/>
        <v>5004600</v>
      </c>
      <c r="I61" s="236">
        <f t="shared" si="6"/>
        <v>1608324.25</v>
      </c>
      <c r="J61" s="74">
        <f t="shared" si="6"/>
        <v>6825788.54</v>
      </c>
      <c r="K61" s="74"/>
    </row>
    <row r="62" spans="1:13" s="1" customFormat="1">
      <c r="A62" s="1" t="s">
        <v>927</v>
      </c>
      <c r="D62" s="108"/>
      <c r="E62" s="108"/>
      <c r="F62" s="108"/>
      <c r="G62" s="108"/>
      <c r="H62" s="108"/>
      <c r="I62" s="238"/>
      <c r="J62" s="44"/>
      <c r="K62" s="44"/>
      <c r="L62" s="44"/>
      <c r="M62" s="44"/>
    </row>
    <row r="63" spans="1:13">
      <c r="A63" s="13">
        <v>244</v>
      </c>
      <c r="B63" s="13">
        <v>264</v>
      </c>
      <c r="C63" s="13" t="s">
        <v>214</v>
      </c>
      <c r="D63" s="104">
        <v>0</v>
      </c>
      <c r="E63" s="104">
        <v>1140.1500000000001</v>
      </c>
      <c r="F63" s="104">
        <v>1710.23</v>
      </c>
      <c r="G63" s="104">
        <v>329.65</v>
      </c>
      <c r="H63" s="104">
        <f>RME!H5</f>
        <v>1710.2250000000001</v>
      </c>
      <c r="I63" s="235">
        <v>329.65</v>
      </c>
      <c r="J63" s="80">
        <v>1000</v>
      </c>
      <c r="K63" s="40">
        <f>I63/7*12</f>
        <v>565.11428571428564</v>
      </c>
      <c r="L63" s="140">
        <f>+E63/8*12</f>
        <v>1710.2250000000001</v>
      </c>
    </row>
    <row r="64" spans="1:13">
      <c r="A64" s="13">
        <v>244</v>
      </c>
      <c r="B64" s="13">
        <v>268</v>
      </c>
      <c r="C64" s="13" t="s">
        <v>216</v>
      </c>
      <c r="D64" s="104">
        <v>10000</v>
      </c>
      <c r="E64" s="104">
        <v>105.26</v>
      </c>
      <c r="F64" s="104">
        <v>5000</v>
      </c>
      <c r="G64" s="104">
        <v>0</v>
      </c>
      <c r="H64" s="104">
        <f>RME!H6</f>
        <v>5000</v>
      </c>
      <c r="I64" s="235">
        <v>0</v>
      </c>
      <c r="J64" s="80">
        <v>2500</v>
      </c>
      <c r="K64" s="40">
        <f>I64/7*12</f>
        <v>0</v>
      </c>
      <c r="L64" s="140">
        <f>+E64/8*12</f>
        <v>157.89000000000001</v>
      </c>
    </row>
    <row r="65" spans="1:16">
      <c r="A65" s="13">
        <v>244</v>
      </c>
      <c r="B65" s="13">
        <v>278</v>
      </c>
      <c r="C65" s="13" t="s">
        <v>218</v>
      </c>
      <c r="D65" s="104">
        <v>32000</v>
      </c>
      <c r="E65" s="104">
        <v>23581.24</v>
      </c>
      <c r="F65" s="104">
        <v>36000</v>
      </c>
      <c r="G65" s="104">
        <v>21891.26</v>
      </c>
      <c r="H65" s="104">
        <f>RME!H7</f>
        <v>40000</v>
      </c>
      <c r="I65" s="235">
        <v>22278.16</v>
      </c>
      <c r="J65" s="80">
        <v>40000</v>
      </c>
      <c r="K65" s="40">
        <f>I65/7*12</f>
        <v>38191.131428571432</v>
      </c>
      <c r="L65" s="140">
        <f>+E65/8*12</f>
        <v>35371.86</v>
      </c>
    </row>
    <row r="66" spans="1:16">
      <c r="A66" s="13">
        <v>244</v>
      </c>
      <c r="B66" s="13">
        <v>281</v>
      </c>
      <c r="C66" s="13" t="s">
        <v>94</v>
      </c>
      <c r="D66" s="104">
        <v>464000</v>
      </c>
      <c r="E66" s="104">
        <v>101149.83</v>
      </c>
      <c r="F66" s="104">
        <v>400000</v>
      </c>
      <c r="G66" s="104">
        <v>441427.5</v>
      </c>
      <c r="H66" s="104">
        <f>RME!H8</f>
        <v>550000</v>
      </c>
      <c r="I66" s="235">
        <v>557688</v>
      </c>
      <c r="J66" s="80">
        <v>956036.57142857148</v>
      </c>
      <c r="K66" s="40">
        <f>I66/7*12</f>
        <v>956036.57142857148</v>
      </c>
      <c r="L66" s="140">
        <f>+E66/8*12</f>
        <v>151724.745</v>
      </c>
    </row>
    <row r="67" spans="1:16">
      <c r="A67" s="13">
        <v>244</v>
      </c>
      <c r="B67" s="13">
        <v>284</v>
      </c>
      <c r="C67" s="13" t="s">
        <v>221</v>
      </c>
      <c r="D67" s="104">
        <v>180000</v>
      </c>
      <c r="E67" s="104">
        <v>131160.37</v>
      </c>
      <c r="F67" s="104">
        <v>200000</v>
      </c>
      <c r="G67" s="104">
        <v>173297.53</v>
      </c>
      <c r="H67" s="104">
        <f>RME!H9</f>
        <v>300000</v>
      </c>
      <c r="I67" s="235">
        <v>176393.88</v>
      </c>
      <c r="J67" s="80">
        <v>400000</v>
      </c>
      <c r="K67" s="40">
        <f>I67/7*12</f>
        <v>302389.5085714286</v>
      </c>
      <c r="L67" s="140">
        <f>+E67/8*12</f>
        <v>196740.55499999999</v>
      </c>
    </row>
    <row r="68" spans="1:16">
      <c r="D68" s="105">
        <f t="shared" ref="D68:I68" si="7">SUM(D63:D67)</f>
        <v>686000</v>
      </c>
      <c r="E68" s="105">
        <f t="shared" si="7"/>
        <v>257136.85</v>
      </c>
      <c r="F68" s="105">
        <f t="shared" si="7"/>
        <v>642710.23</v>
      </c>
      <c r="G68" s="105">
        <f t="shared" si="7"/>
        <v>636945.93999999994</v>
      </c>
      <c r="H68" s="105">
        <f t="shared" si="7"/>
        <v>896710.22499999998</v>
      </c>
      <c r="I68" s="236">
        <f t="shared" si="7"/>
        <v>756689.69000000006</v>
      </c>
      <c r="J68" s="74">
        <f>SUM(J63:J67)</f>
        <v>1399536.5714285714</v>
      </c>
      <c r="K68" s="74"/>
    </row>
    <row r="69" spans="1:16" ht="15.75" thickBot="1">
      <c r="A69" s="1" t="s">
        <v>923</v>
      </c>
      <c r="D69" s="102"/>
      <c r="E69" s="102"/>
      <c r="F69" s="102"/>
      <c r="G69" s="102"/>
      <c r="H69" s="102"/>
      <c r="I69" s="239"/>
      <c r="J69" s="27"/>
      <c r="K69" s="27"/>
    </row>
    <row r="70" spans="1:16" s="1" customFormat="1" ht="15.75" thickBot="1">
      <c r="A70" s="13">
        <v>244</v>
      </c>
      <c r="B70" s="13">
        <v>8823</v>
      </c>
      <c r="C70" s="13" t="s">
        <v>230</v>
      </c>
      <c r="D70" s="104">
        <v>-277399.21999999997</v>
      </c>
      <c r="E70" s="104">
        <v>-2173.56</v>
      </c>
      <c r="F70" s="104">
        <v>-200000</v>
      </c>
      <c r="G70" s="104">
        <v>-1234.21</v>
      </c>
      <c r="H70" s="104">
        <f>'OTHER REVENUE'!H9</f>
        <v>-100000</v>
      </c>
      <c r="I70" s="235">
        <v>-1307.02</v>
      </c>
      <c r="J70" s="80">
        <v>-3000</v>
      </c>
      <c r="K70" s="40">
        <f>I70/7*12</f>
        <v>-2240.6057142857144</v>
      </c>
      <c r="L70" s="44"/>
      <c r="M70" s="61" t="s">
        <v>916</v>
      </c>
      <c r="N70" s="46" t="s">
        <v>1105</v>
      </c>
      <c r="O70" s="59" t="s">
        <v>1103</v>
      </c>
      <c r="P70" s="59" t="s">
        <v>1117</v>
      </c>
    </row>
    <row r="71" spans="1:16">
      <c r="A71" s="13">
        <v>244</v>
      </c>
      <c r="B71" s="13">
        <v>8855</v>
      </c>
      <c r="C71" s="13" t="s">
        <v>232</v>
      </c>
      <c r="D71" s="104">
        <v>-40000</v>
      </c>
      <c r="E71" s="104">
        <v>-22645.759999999998</v>
      </c>
      <c r="F71" s="104">
        <v>-36000</v>
      </c>
      <c r="G71" s="104">
        <v>-21195.81</v>
      </c>
      <c r="H71" s="104">
        <f>'RENT REVENUE'!H3</f>
        <v>-40000</v>
      </c>
      <c r="I71" s="235">
        <v>-23153.53</v>
      </c>
      <c r="J71" s="80">
        <f>-39691.7657142857+-2381.51</f>
        <v>-42073.275714285701</v>
      </c>
      <c r="K71" s="40">
        <f>I71/7*12</f>
        <v>-39691.765714285713</v>
      </c>
      <c r="L71" s="44" t="s">
        <v>958</v>
      </c>
      <c r="M71" s="44">
        <f>D6+D29+D61+D68</f>
        <v>15354617.040000001</v>
      </c>
      <c r="N71" s="27">
        <f>F29+F32+F39+F61+F68</f>
        <v>19870228.167080004</v>
      </c>
      <c r="O71" s="27">
        <f>H29+H32+H39+H61+H68</f>
        <v>17694227.473363247</v>
      </c>
      <c r="P71" s="27">
        <f>J29+J32+J39+J61+J68</f>
        <v>20068587.729805037</v>
      </c>
    </row>
    <row r="72" spans="1:16">
      <c r="A72" s="13">
        <v>244</v>
      </c>
      <c r="B72" s="13">
        <v>8864</v>
      </c>
      <c r="C72" s="13" t="s">
        <v>234</v>
      </c>
      <c r="D72" s="104">
        <v>-346000</v>
      </c>
      <c r="E72" s="104">
        <v>-192863.08</v>
      </c>
      <c r="F72" s="104">
        <v>-337510.39</v>
      </c>
      <c r="G72" s="104">
        <v>-112285.05</v>
      </c>
      <c r="H72" s="104">
        <f>'RENT REVENUE'!H4</f>
        <v>-300000</v>
      </c>
      <c r="I72" s="235">
        <v>-146642.67000000001</v>
      </c>
      <c r="J72" s="80">
        <f>-251387.434285714+-15083.25</f>
        <v>-266470.684285714</v>
      </c>
      <c r="K72" s="40">
        <f>I72/7*12</f>
        <v>-251387.43428571432</v>
      </c>
      <c r="L72" s="44" t="s">
        <v>959</v>
      </c>
      <c r="M72" s="44">
        <f>D75</f>
        <v>-668399.22</v>
      </c>
      <c r="N72" s="27">
        <f>F9+F75</f>
        <v>-577910.39</v>
      </c>
      <c r="O72" s="27">
        <f>H75</f>
        <v>-444400</v>
      </c>
      <c r="P72" s="27">
        <f>J75</f>
        <v>-312935.20142857113</v>
      </c>
    </row>
    <row r="73" spans="1:16" ht="15.75" thickBot="1">
      <c r="A73" s="13">
        <v>244</v>
      </c>
      <c r="B73" s="13">
        <v>8877</v>
      </c>
      <c r="C73" s="13" t="s">
        <v>236</v>
      </c>
      <c r="D73" s="104">
        <v>0</v>
      </c>
      <c r="E73" s="104">
        <v>-50391.61</v>
      </c>
      <c r="F73" s="104">
        <v>0</v>
      </c>
      <c r="G73" s="104">
        <v>-40678.75</v>
      </c>
      <c r="H73" s="104">
        <f>GRANTS!H12</f>
        <v>0</v>
      </c>
      <c r="I73" s="235">
        <v>-83745.210000000006</v>
      </c>
      <c r="J73" s="98">
        <v>0</v>
      </c>
      <c r="K73" s="40">
        <f>I73/7*12</f>
        <v>-143563.21714285715</v>
      </c>
      <c r="M73" s="50">
        <f>M71+M72</f>
        <v>14686217.82</v>
      </c>
      <c r="N73" s="50">
        <f>N71+N72</f>
        <v>19292317.777080003</v>
      </c>
      <c r="O73" s="50">
        <f>O71+O72</f>
        <v>17249827.473363247</v>
      </c>
      <c r="P73" s="50">
        <f>P71+P72</f>
        <v>19755652.528376468</v>
      </c>
    </row>
    <row r="74" spans="1:16" ht="15.75" thickTop="1">
      <c r="A74" s="13">
        <v>244</v>
      </c>
      <c r="B74" s="13">
        <v>8881</v>
      </c>
      <c r="C74" s="13" t="s">
        <v>238</v>
      </c>
      <c r="D74" s="104">
        <v>-5000</v>
      </c>
      <c r="E74" s="104">
        <v>-2894.76</v>
      </c>
      <c r="F74" s="104">
        <v>-4400</v>
      </c>
      <c r="G74" s="104">
        <v>-765.62</v>
      </c>
      <c r="H74" s="104">
        <f>'RENT REVENUE'!H5</f>
        <v>-4400</v>
      </c>
      <c r="I74" s="235">
        <v>-765.62</v>
      </c>
      <c r="J74" s="80">
        <f>-1312.49142857143+-78.75</f>
        <v>-1391.2414285714301</v>
      </c>
      <c r="K74" s="40">
        <f>I74/7*12</f>
        <v>-1312.4914285714285</v>
      </c>
    </row>
    <row r="75" spans="1:16">
      <c r="D75" s="105">
        <f t="shared" ref="D75:J75" si="8">SUM(D70:D74)</f>
        <v>-668399.22</v>
      </c>
      <c r="E75" s="105">
        <f t="shared" si="8"/>
        <v>-270968.77</v>
      </c>
      <c r="F75" s="105">
        <f t="shared" si="8"/>
        <v>-577910.39</v>
      </c>
      <c r="G75" s="105">
        <f t="shared" si="8"/>
        <v>-176159.44</v>
      </c>
      <c r="H75" s="105">
        <f t="shared" si="8"/>
        <v>-444400</v>
      </c>
      <c r="I75" s="236">
        <f t="shared" si="8"/>
        <v>-255614.05</v>
      </c>
      <c r="J75" s="74">
        <f t="shared" si="8"/>
        <v>-312935.20142857113</v>
      </c>
      <c r="K75" s="74"/>
    </row>
    <row r="76" spans="1:16">
      <c r="G76" s="159"/>
      <c r="H76" s="159"/>
      <c r="I76" s="243"/>
    </row>
    <row r="77" spans="1:16">
      <c r="G77" s="159"/>
      <c r="H77" s="159"/>
      <c r="I77" s="243"/>
      <c r="N77" s="27"/>
    </row>
    <row r="78" spans="1:16">
      <c r="G78" s="159"/>
      <c r="H78" s="159"/>
      <c r="I78" s="243"/>
    </row>
    <row r="79" spans="1:16">
      <c r="F79" s="102"/>
      <c r="G79" s="102"/>
      <c r="H79" s="102"/>
      <c r="I79" s="239"/>
      <c r="J79" s="27"/>
      <c r="K79" s="27"/>
    </row>
    <row r="80" spans="1:16">
      <c r="A80" s="35"/>
      <c r="B80" s="35"/>
      <c r="C80" s="78" t="s">
        <v>1109</v>
      </c>
      <c r="D80" s="112"/>
      <c r="F80" s="194"/>
      <c r="G80" s="194"/>
      <c r="H80" s="194"/>
      <c r="I80" s="239"/>
      <c r="J80" s="27"/>
      <c r="K80" s="27"/>
    </row>
    <row r="81" spans="1:9" ht="15.75" thickBot="1">
      <c r="A81" s="35"/>
      <c r="B81" s="35"/>
      <c r="C81" s="38"/>
      <c r="D81" s="102"/>
      <c r="G81" s="159"/>
      <c r="H81" s="159"/>
      <c r="I81" s="243"/>
    </row>
    <row r="82" spans="1:9" ht="15.75" thickBot="1">
      <c r="A82" s="35"/>
      <c r="B82" s="35"/>
      <c r="C82" s="61" t="s">
        <v>916</v>
      </c>
      <c r="D82" s="195" t="s">
        <v>1102</v>
      </c>
      <c r="E82" s="225"/>
      <c r="F82" s="226" t="s">
        <v>1103</v>
      </c>
      <c r="G82" s="226" t="s">
        <v>1117</v>
      </c>
      <c r="H82" s="226" t="s">
        <v>1117</v>
      </c>
      <c r="I82" s="243"/>
    </row>
    <row r="83" spans="1:9">
      <c r="A83" s="35">
        <v>244</v>
      </c>
      <c r="B83" s="35" t="s">
        <v>1028</v>
      </c>
      <c r="C83" s="38">
        <f>M73</f>
        <v>14686217.82</v>
      </c>
      <c r="D83" s="102">
        <f>N73</f>
        <v>19292317.777080003</v>
      </c>
      <c r="F83" s="102">
        <f>O73</f>
        <v>17249827.473363247</v>
      </c>
      <c r="G83" s="102">
        <f>P73</f>
        <v>19755652.528376468</v>
      </c>
      <c r="H83" s="102">
        <f>P73</f>
        <v>19755652.528376468</v>
      </c>
      <c r="I83" s="243"/>
    </row>
    <row r="84" spans="1:9">
      <c r="G84" s="159"/>
      <c r="H84" s="159"/>
      <c r="I84" s="243"/>
    </row>
    <row r="85" spans="1:9">
      <c r="G85" s="159"/>
      <c r="H85" s="159"/>
      <c r="I85" s="243"/>
    </row>
    <row r="86" spans="1:9">
      <c r="G86" s="159"/>
      <c r="H86" s="159"/>
      <c r="I86" s="243"/>
    </row>
    <row r="87" spans="1:9">
      <c r="G87" s="159"/>
      <c r="H87" s="159"/>
      <c r="I87" s="243"/>
    </row>
    <row r="88" spans="1:9">
      <c r="G88" s="159"/>
      <c r="H88" s="159"/>
      <c r="I88" s="243"/>
    </row>
    <row r="89" spans="1:9">
      <c r="G89" s="159"/>
      <c r="H89" s="159"/>
      <c r="I89" s="243"/>
    </row>
    <row r="90" spans="1:9">
      <c r="G90" s="159"/>
      <c r="H90" s="159"/>
      <c r="I90" s="243"/>
    </row>
    <row r="91" spans="1:9">
      <c r="G91" s="159"/>
      <c r="H91" s="159"/>
      <c r="I91" s="243"/>
    </row>
    <row r="92" spans="1:9">
      <c r="G92" s="159"/>
      <c r="H92" s="159"/>
      <c r="I92" s="243"/>
    </row>
    <row r="93" spans="1:9">
      <c r="G93" s="159"/>
      <c r="H93" s="159"/>
      <c r="I93" s="243"/>
    </row>
    <row r="94" spans="1:9">
      <c r="G94" s="159"/>
      <c r="H94" s="159"/>
      <c r="I94" s="243"/>
    </row>
    <row r="95" spans="1:9">
      <c r="G95" s="159"/>
      <c r="H95" s="159"/>
      <c r="I95" s="243"/>
    </row>
    <row r="96" spans="1:9">
      <c r="G96" s="159"/>
      <c r="H96" s="159"/>
      <c r="I96" s="243"/>
    </row>
    <row r="97" spans="7:9">
      <c r="G97" s="159"/>
      <c r="H97" s="159"/>
      <c r="I97" s="243"/>
    </row>
    <row r="98" spans="7:9">
      <c r="G98" s="159"/>
      <c r="H98" s="159"/>
      <c r="I98" s="243"/>
    </row>
    <row r="99" spans="7:9">
      <c r="G99" s="159"/>
      <c r="H99" s="159"/>
      <c r="I99" s="243"/>
    </row>
    <row r="100" spans="7:9">
      <c r="G100" s="159"/>
      <c r="H100" s="159"/>
      <c r="I100" s="243"/>
    </row>
    <row r="101" spans="7:9">
      <c r="G101" s="159"/>
      <c r="H101" s="159"/>
      <c r="I101" s="243"/>
    </row>
    <row r="102" spans="7:9">
      <c r="G102" s="159"/>
      <c r="H102" s="159"/>
      <c r="I102" s="243"/>
    </row>
    <row r="103" spans="7:9">
      <c r="G103" s="159"/>
      <c r="H103" s="159"/>
      <c r="I103" s="243"/>
    </row>
    <row r="104" spans="7:9">
      <c r="G104" s="159"/>
      <c r="H104" s="159"/>
      <c r="I104" s="243"/>
    </row>
    <row r="105" spans="7:9">
      <c r="G105" s="159"/>
      <c r="H105" s="159"/>
      <c r="I105" s="243"/>
    </row>
    <row r="106" spans="7:9">
      <c r="G106" s="159"/>
      <c r="H106" s="159"/>
      <c r="I106" s="243"/>
    </row>
    <row r="107" spans="7:9">
      <c r="G107" s="159"/>
      <c r="H107" s="159"/>
      <c r="I107" s="243"/>
    </row>
    <row r="108" spans="7:9">
      <c r="G108" s="159"/>
      <c r="H108" s="159"/>
      <c r="I108" s="243"/>
    </row>
    <row r="109" spans="7:9">
      <c r="G109" s="159"/>
      <c r="H109" s="159"/>
      <c r="I109" s="243"/>
    </row>
    <row r="110" spans="7:9">
      <c r="G110" s="159"/>
      <c r="H110" s="159"/>
      <c r="I110" s="243"/>
    </row>
    <row r="111" spans="7:9">
      <c r="G111" s="159"/>
      <c r="H111" s="159"/>
      <c r="I111" s="243"/>
    </row>
    <row r="112" spans="7:9">
      <c r="G112" s="159"/>
      <c r="H112" s="159"/>
      <c r="I112" s="243"/>
    </row>
    <row r="113" spans="7:9">
      <c r="G113" s="159"/>
      <c r="H113" s="159"/>
      <c r="I113" s="243"/>
    </row>
    <row r="114" spans="7:9">
      <c r="G114" s="159"/>
      <c r="H114" s="159"/>
      <c r="I114" s="243"/>
    </row>
    <row r="115" spans="7:9">
      <c r="G115" s="159"/>
      <c r="H115" s="159"/>
      <c r="I115" s="243"/>
    </row>
    <row r="116" spans="7:9">
      <c r="G116" s="159"/>
      <c r="H116" s="159"/>
      <c r="I116" s="243"/>
    </row>
    <row r="117" spans="7:9">
      <c r="G117" s="159"/>
      <c r="H117" s="159"/>
      <c r="I117" s="243"/>
    </row>
    <row r="118" spans="7:9">
      <c r="G118" s="159"/>
      <c r="H118" s="159"/>
      <c r="I118" s="243"/>
    </row>
    <row r="119" spans="7:9">
      <c r="G119" s="159"/>
      <c r="H119" s="159"/>
      <c r="I119" s="243"/>
    </row>
    <row r="120" spans="7:9">
      <c r="G120" s="159"/>
      <c r="H120" s="159"/>
    </row>
    <row r="121" spans="7:9">
      <c r="G121" s="159"/>
      <c r="H121" s="159"/>
    </row>
    <row r="122" spans="7:9">
      <c r="G122" s="159"/>
      <c r="H122" s="159"/>
    </row>
    <row r="123" spans="7:9">
      <c r="G123" s="159"/>
      <c r="H123" s="159"/>
    </row>
    <row r="124" spans="7:9">
      <c r="G124" s="159"/>
      <c r="H124" s="159"/>
    </row>
    <row r="125" spans="7:9">
      <c r="G125" s="159"/>
      <c r="H125" s="159"/>
    </row>
    <row r="126" spans="7:9">
      <c r="G126" s="159"/>
      <c r="H126" s="159"/>
    </row>
    <row r="127" spans="7:9">
      <c r="G127" s="159"/>
      <c r="H127" s="159"/>
    </row>
    <row r="128" spans="7:9">
      <c r="G128" s="159"/>
      <c r="H128" s="159"/>
    </row>
    <row r="129" spans="7:8">
      <c r="G129" s="159"/>
      <c r="H129" s="159"/>
    </row>
    <row r="130" spans="7:8">
      <c r="G130" s="159"/>
      <c r="H130" s="159"/>
    </row>
    <row r="131" spans="7:8">
      <c r="G131" s="159"/>
      <c r="H131" s="159"/>
    </row>
    <row r="132" spans="7:8">
      <c r="G132" s="159"/>
      <c r="H132" s="159"/>
    </row>
    <row r="133" spans="7:8">
      <c r="G133" s="159"/>
      <c r="H133" s="159"/>
    </row>
    <row r="134" spans="7:8">
      <c r="G134" s="159"/>
      <c r="H134" s="159"/>
    </row>
  </sheetData>
  <pageMargins left="0.70866141732283472" right="0.70866141732283472" top="0.74803149606299213" bottom="0.74803149606299213" header="0.31496062992125984" footer="0.31496062992125984"/>
  <pageSetup scale="59" orientation="portrait" r:id="rId1"/>
  <colBreaks count="1" manualBreakCount="1">
    <brk id="11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8"/>
  <sheetViews>
    <sheetView topLeftCell="D1" zoomScaleNormal="100" workbookViewId="0">
      <pane ySplit="2" topLeftCell="A72" activePane="bottomLeft" state="frozen"/>
      <selection pane="bottomLeft" activeCell="L83" sqref="L83"/>
    </sheetView>
  </sheetViews>
  <sheetFormatPr defaultRowHeight="15"/>
  <cols>
    <col min="1" max="2" width="9.140625" style="35"/>
    <col min="3" max="3" width="32.7109375" style="35" bestFit="1" customWidth="1"/>
    <col min="4" max="4" width="26" style="164" bestFit="1" customWidth="1"/>
    <col min="5" max="5" width="24" style="164" hidden="1" customWidth="1"/>
    <col min="6" max="6" width="26" style="115" bestFit="1" customWidth="1"/>
    <col min="7" max="7" width="20.7109375" style="133" hidden="1" customWidth="1"/>
    <col min="8" max="8" width="26" style="38" bestFit="1" customWidth="1"/>
    <col min="9" max="10" width="26" style="38" customWidth="1"/>
    <col min="11" max="11" width="23" style="38" hidden="1" customWidth="1"/>
    <col min="12" max="12" width="23" style="293" customWidth="1"/>
    <col min="13" max="13" width="23" style="35" customWidth="1"/>
    <col min="14" max="14" width="19.7109375" style="35" bestFit="1" customWidth="1"/>
    <col min="15" max="15" width="23" style="35" bestFit="1" customWidth="1"/>
    <col min="16" max="16" width="26" style="35" bestFit="1" customWidth="1"/>
    <col min="17" max="17" width="19.7109375" style="35" bestFit="1" customWidth="1"/>
    <col min="18" max="16384" width="9.140625" style="35"/>
  </cols>
  <sheetData>
    <row r="1" spans="1:13" customFormat="1" ht="15.75" thickBot="1">
      <c r="A1" s="147"/>
      <c r="B1" s="147"/>
      <c r="C1" s="147"/>
      <c r="D1" s="148"/>
      <c r="E1" s="148"/>
      <c r="F1" s="148"/>
      <c r="G1" s="133"/>
      <c r="H1" s="148"/>
      <c r="I1" s="148"/>
      <c r="J1" s="148"/>
      <c r="K1" s="27"/>
      <c r="L1" s="297"/>
      <c r="M1" s="27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34" t="s">
        <v>1104</v>
      </c>
      <c r="H2" s="152" t="s">
        <v>1103</v>
      </c>
      <c r="I2" s="152" t="s">
        <v>1118</v>
      </c>
      <c r="J2" s="152" t="s">
        <v>1123</v>
      </c>
      <c r="K2" s="44"/>
      <c r="L2" s="299"/>
      <c r="M2" s="44"/>
    </row>
    <row r="3" spans="1:13">
      <c r="A3" s="72" t="s">
        <v>921</v>
      </c>
      <c r="B3" s="72"/>
      <c r="C3" s="72"/>
      <c r="D3" s="103"/>
      <c r="E3" s="103"/>
      <c r="F3" s="103"/>
      <c r="G3" s="103"/>
      <c r="H3" s="103"/>
      <c r="I3" s="234"/>
      <c r="J3" s="73"/>
    </row>
    <row r="4" spans="1:13">
      <c r="A4" s="79">
        <v>274</v>
      </c>
      <c r="B4" s="79">
        <v>1</v>
      </c>
      <c r="C4" s="79" t="s">
        <v>16</v>
      </c>
      <c r="D4" s="104">
        <v>4828937.71</v>
      </c>
      <c r="E4" s="104">
        <v>3259873.06</v>
      </c>
      <c r="F4" s="104">
        <f>K4*5.8/100+K4</f>
        <v>5173418.5462199999</v>
      </c>
      <c r="G4" s="104">
        <v>2071369.63</v>
      </c>
      <c r="H4" s="104">
        <v>5261366.6615057401</v>
      </c>
      <c r="I4" s="235">
        <v>2122199.4</v>
      </c>
      <c r="J4" s="84">
        <f>SALARIES!J162</f>
        <v>5577048.6611960847</v>
      </c>
      <c r="K4" s="165">
        <f>+E4/8*12</f>
        <v>4889809.59</v>
      </c>
    </row>
    <row r="5" spans="1:13">
      <c r="A5" s="79">
        <v>274</v>
      </c>
      <c r="B5" s="79">
        <v>3</v>
      </c>
      <c r="C5" s="79" t="s">
        <v>56</v>
      </c>
      <c r="D5" s="104">
        <v>74820</v>
      </c>
      <c r="E5" s="104">
        <v>54500</v>
      </c>
      <c r="F5" s="104">
        <f t="shared" ref="F5:F17" si="0">K5*5.8/100+K5</f>
        <v>86491.5</v>
      </c>
      <c r="G5" s="104">
        <v>8190</v>
      </c>
      <c r="H5" s="104">
        <v>87961.855500000005</v>
      </c>
      <c r="I5" s="235">
        <v>8190</v>
      </c>
      <c r="J5" s="84">
        <f>SALARIES!J163</f>
        <v>93239.566830000011</v>
      </c>
      <c r="K5" s="165">
        <f t="shared" ref="K5:K17" si="1">+E5/8*12</f>
        <v>81750</v>
      </c>
    </row>
    <row r="6" spans="1:13">
      <c r="A6" s="79">
        <v>274</v>
      </c>
      <c r="B6" s="79">
        <v>4</v>
      </c>
      <c r="C6" s="79" t="s">
        <v>58</v>
      </c>
      <c r="D6" s="104">
        <v>17248.66</v>
      </c>
      <c r="E6" s="104">
        <v>11904.19</v>
      </c>
      <c r="F6" s="104">
        <f t="shared" si="0"/>
        <v>18891.949529999998</v>
      </c>
      <c r="G6" s="104">
        <v>7720.24</v>
      </c>
      <c r="H6" s="104">
        <v>19213.112672009996</v>
      </c>
      <c r="I6" s="235">
        <v>7720.24</v>
      </c>
      <c r="J6" s="84">
        <f>SALARIES!J164</f>
        <v>20365.899432330596</v>
      </c>
      <c r="K6" s="165">
        <f t="shared" si="1"/>
        <v>17856.285</v>
      </c>
    </row>
    <row r="7" spans="1:13">
      <c r="A7" s="79">
        <v>274</v>
      </c>
      <c r="B7" s="79">
        <v>6</v>
      </c>
      <c r="C7" s="79" t="s">
        <v>19</v>
      </c>
      <c r="D7" s="104">
        <v>288562.02</v>
      </c>
      <c r="E7" s="104">
        <v>196768.56</v>
      </c>
      <c r="F7" s="104">
        <f t="shared" si="0"/>
        <v>312271.70471999998</v>
      </c>
      <c r="G7" s="104">
        <v>126406.41</v>
      </c>
      <c r="H7" s="104">
        <v>317580.32370024</v>
      </c>
      <c r="I7" s="235">
        <v>126406.41</v>
      </c>
      <c r="J7" s="84">
        <f>SALARIES!J165</f>
        <v>336635.14312225441</v>
      </c>
      <c r="K7" s="165">
        <f t="shared" si="1"/>
        <v>295152.83999999997</v>
      </c>
    </row>
    <row r="8" spans="1:13">
      <c r="A8" s="79">
        <v>274</v>
      </c>
      <c r="B8" s="79">
        <v>8</v>
      </c>
      <c r="C8" s="79" t="s">
        <v>173</v>
      </c>
      <c r="D8" s="104">
        <v>15495.86</v>
      </c>
      <c r="E8" s="104">
        <v>8307.7800000000007</v>
      </c>
      <c r="F8" s="104">
        <f t="shared" si="0"/>
        <v>13184.446860000002</v>
      </c>
      <c r="G8" s="104">
        <v>16749.32</v>
      </c>
      <c r="H8" s="104">
        <v>13408.582456620003</v>
      </c>
      <c r="I8" s="235">
        <v>16749.32</v>
      </c>
      <c r="J8" s="84">
        <f>SALARIES!J166</f>
        <v>14213.097404017202</v>
      </c>
      <c r="K8" s="165">
        <f t="shared" si="1"/>
        <v>12461.670000000002</v>
      </c>
    </row>
    <row r="9" spans="1:13">
      <c r="A9" s="79">
        <v>274</v>
      </c>
      <c r="B9" s="79">
        <v>10</v>
      </c>
      <c r="C9" s="79" t="s">
        <v>22</v>
      </c>
      <c r="D9" s="104">
        <v>816561.28</v>
      </c>
      <c r="E9" s="104">
        <v>564320.57999999996</v>
      </c>
      <c r="F9" s="104">
        <f t="shared" si="0"/>
        <v>895576.7604599999</v>
      </c>
      <c r="G9" s="104">
        <v>391192.81</v>
      </c>
      <c r="H9" s="104">
        <v>910801.56538781989</v>
      </c>
      <c r="I9" s="235">
        <v>391192.81</v>
      </c>
      <c r="J9" s="84">
        <f>SALARIES!J167</f>
        <v>965449.65931108908</v>
      </c>
      <c r="K9" s="165">
        <f t="shared" si="1"/>
        <v>846480.86999999988</v>
      </c>
    </row>
    <row r="10" spans="1:13">
      <c r="A10" s="79">
        <v>274</v>
      </c>
      <c r="B10" s="79">
        <v>11</v>
      </c>
      <c r="C10" s="79" t="s">
        <v>24</v>
      </c>
      <c r="D10" s="104">
        <v>210705.32</v>
      </c>
      <c r="E10" s="104">
        <v>141020.20000000001</v>
      </c>
      <c r="F10" s="104">
        <v>623799.06000000006</v>
      </c>
      <c r="G10" s="104">
        <v>139592.09</v>
      </c>
      <c r="H10" s="104">
        <v>634403.64137580001</v>
      </c>
      <c r="I10" s="235">
        <v>139592.09</v>
      </c>
      <c r="J10" s="84">
        <f>SALARIES!J168</f>
        <v>672467.85985834803</v>
      </c>
      <c r="K10" s="165">
        <f t="shared" si="1"/>
        <v>211530.30000000002</v>
      </c>
    </row>
    <row r="11" spans="1:13">
      <c r="A11" s="79">
        <v>274</v>
      </c>
      <c r="B11" s="79">
        <v>14</v>
      </c>
      <c r="C11" s="79" t="s">
        <v>25</v>
      </c>
      <c r="D11" s="104">
        <v>222504</v>
      </c>
      <c r="E11" s="104">
        <v>156803</v>
      </c>
      <c r="F11" s="104">
        <v>398846.36</v>
      </c>
      <c r="G11" s="104">
        <v>132559.5</v>
      </c>
      <c r="H11" s="104">
        <v>405626.74913700001</v>
      </c>
      <c r="I11" s="235">
        <v>132559.5</v>
      </c>
      <c r="J11" s="84">
        <f>SALARIES!J169</f>
        <v>429964.35408522002</v>
      </c>
      <c r="K11" s="165">
        <f t="shared" si="1"/>
        <v>235204.5</v>
      </c>
    </row>
    <row r="12" spans="1:13">
      <c r="A12" s="79">
        <v>274</v>
      </c>
      <c r="B12" s="79">
        <v>16</v>
      </c>
      <c r="C12" s="79" t="s">
        <v>27</v>
      </c>
      <c r="D12" s="104">
        <v>42975.58</v>
      </c>
      <c r="E12" s="104">
        <v>29923.03</v>
      </c>
      <c r="F12" s="104">
        <f t="shared" si="0"/>
        <v>47487.848610000001</v>
      </c>
      <c r="G12" s="104">
        <v>19750.060000000001</v>
      </c>
      <c r="H12" s="104">
        <v>48295.142036370002</v>
      </c>
      <c r="I12" s="235">
        <v>19750.060000000001</v>
      </c>
      <c r="J12" s="84">
        <f>SALARIES!J170</f>
        <v>51192.8505585522</v>
      </c>
      <c r="K12" s="165">
        <f t="shared" si="1"/>
        <v>44884.544999999998</v>
      </c>
    </row>
    <row r="13" spans="1:13">
      <c r="A13" s="79">
        <v>274</v>
      </c>
      <c r="B13" s="79">
        <v>17</v>
      </c>
      <c r="C13" s="79" t="s">
        <v>29</v>
      </c>
      <c r="D13" s="104">
        <v>35310</v>
      </c>
      <c r="E13" s="104">
        <v>22909.8</v>
      </c>
      <c r="F13" s="104">
        <f t="shared" si="0"/>
        <v>36357.852599999998</v>
      </c>
      <c r="G13" s="104">
        <v>10909.8</v>
      </c>
      <c r="H13" s="104">
        <v>36975.936094199998</v>
      </c>
      <c r="I13" s="235">
        <v>10909.8</v>
      </c>
      <c r="J13" s="84">
        <f>SALARIES!J171</f>
        <v>39194.492259851999</v>
      </c>
      <c r="K13" s="165">
        <f t="shared" si="1"/>
        <v>34364.699999999997</v>
      </c>
    </row>
    <row r="14" spans="1:13">
      <c r="A14" s="79">
        <v>274</v>
      </c>
      <c r="B14" s="79">
        <v>18</v>
      </c>
      <c r="C14" s="79" t="s">
        <v>31</v>
      </c>
      <c r="D14" s="104">
        <v>345911.88</v>
      </c>
      <c r="E14" s="104">
        <v>242037.43</v>
      </c>
      <c r="F14" s="104">
        <f t="shared" si="0"/>
        <v>384113.40140999999</v>
      </c>
      <c r="G14" s="104">
        <v>104237.34</v>
      </c>
      <c r="H14" s="104">
        <v>390643.32923396997</v>
      </c>
      <c r="I14" s="235">
        <v>104237.34</v>
      </c>
      <c r="J14" s="84">
        <f>SALARIES!J172</f>
        <v>414081.92898800818</v>
      </c>
      <c r="K14" s="165">
        <f t="shared" si="1"/>
        <v>363056.14500000002</v>
      </c>
    </row>
    <row r="15" spans="1:13">
      <c r="A15" s="79">
        <v>274</v>
      </c>
      <c r="B15" s="79">
        <v>102</v>
      </c>
      <c r="C15" s="79" t="s">
        <v>66</v>
      </c>
      <c r="D15" s="104">
        <v>55298.62</v>
      </c>
      <c r="E15" s="104">
        <v>38239.46</v>
      </c>
      <c r="F15" s="104">
        <f t="shared" si="0"/>
        <v>60686.023020000001</v>
      </c>
      <c r="G15" s="104">
        <v>24293.43</v>
      </c>
      <c r="H15" s="104">
        <v>61717.685411340004</v>
      </c>
      <c r="I15" s="235">
        <v>24293.43</v>
      </c>
      <c r="J15" s="84">
        <f>SALARIES!J173</f>
        <v>65420.746536020408</v>
      </c>
      <c r="K15" s="165">
        <f t="shared" si="1"/>
        <v>57359.19</v>
      </c>
    </row>
    <row r="16" spans="1:13">
      <c r="A16" s="79">
        <v>274</v>
      </c>
      <c r="B16" s="79">
        <v>103</v>
      </c>
      <c r="C16" s="79" t="s">
        <v>382</v>
      </c>
      <c r="D16" s="104">
        <v>5756.6</v>
      </c>
      <c r="E16" s="104">
        <v>4258.6000000000004</v>
      </c>
      <c r="F16" s="104">
        <f t="shared" si="0"/>
        <v>6758.3982000000005</v>
      </c>
      <c r="G16" s="104">
        <v>1776.2</v>
      </c>
      <c r="H16" s="104">
        <v>6873.2909694000009</v>
      </c>
      <c r="I16" s="235">
        <v>2033</v>
      </c>
      <c r="J16" s="84">
        <f>SALARIES!J174</f>
        <v>7285.6884275640014</v>
      </c>
      <c r="K16" s="165">
        <f t="shared" si="1"/>
        <v>6387.9000000000005</v>
      </c>
    </row>
    <row r="17" spans="1:12">
      <c r="A17" s="79">
        <v>274</v>
      </c>
      <c r="B17" s="79">
        <v>104</v>
      </c>
      <c r="C17" s="79" t="s">
        <v>34</v>
      </c>
      <c r="D17" s="104">
        <v>2287.34</v>
      </c>
      <c r="E17" s="104">
        <v>1590.29</v>
      </c>
      <c r="F17" s="104">
        <f t="shared" si="0"/>
        <v>2523.7902300000001</v>
      </c>
      <c r="G17" s="104">
        <v>1087.5</v>
      </c>
      <c r="H17" s="104">
        <v>2566.6946639100001</v>
      </c>
      <c r="I17" s="235">
        <v>1087.5</v>
      </c>
      <c r="J17" s="84">
        <f>SALARIES!J175</f>
        <v>2720.6963437446002</v>
      </c>
      <c r="K17" s="165">
        <f t="shared" si="1"/>
        <v>2385.4349999999999</v>
      </c>
    </row>
    <row r="18" spans="1:12">
      <c r="D18" s="105">
        <f t="shared" ref="D18:J18" si="2">SUM(D4:D17)</f>
        <v>6962374.870000001</v>
      </c>
      <c r="E18" s="105">
        <f t="shared" si="2"/>
        <v>4732455.9799999995</v>
      </c>
      <c r="F18" s="105">
        <f t="shared" si="2"/>
        <v>8060407.6418599989</v>
      </c>
      <c r="G18" s="105">
        <f t="shared" si="2"/>
        <v>3055834.3299999996</v>
      </c>
      <c r="H18" s="105">
        <f t="shared" si="2"/>
        <v>8197434.5701444196</v>
      </c>
      <c r="I18" s="236">
        <f t="shared" si="2"/>
        <v>3106920.9</v>
      </c>
      <c r="J18" s="74">
        <f t="shared" si="2"/>
        <v>8689280.6443530843</v>
      </c>
    </row>
    <row r="19" spans="1:12">
      <c r="A19" s="71" t="s">
        <v>44</v>
      </c>
      <c r="D19" s="105"/>
      <c r="E19" s="105"/>
      <c r="F19" s="105"/>
      <c r="G19" s="105"/>
      <c r="H19" s="105"/>
      <c r="I19" s="236"/>
      <c r="J19" s="74"/>
    </row>
    <row r="20" spans="1:12">
      <c r="A20" s="79">
        <v>274</v>
      </c>
      <c r="B20" s="79">
        <v>210</v>
      </c>
      <c r="C20" s="79" t="s">
        <v>404</v>
      </c>
      <c r="D20" s="104">
        <v>509054.52</v>
      </c>
      <c r="E20" s="104">
        <v>0</v>
      </c>
      <c r="F20" s="104">
        <f>'NON CASH'!G13</f>
        <v>519235.61040000001</v>
      </c>
      <c r="G20" s="104">
        <v>0</v>
      </c>
      <c r="H20" s="104">
        <f>'NON CASH'!H13</f>
        <v>545197.39092000003</v>
      </c>
      <c r="I20" s="235"/>
      <c r="J20" s="84">
        <f>'NON CASH'!I13</f>
        <v>556101.33873840002</v>
      </c>
      <c r="K20" s="165">
        <f>+E20/8*12</f>
        <v>0</v>
      </c>
    </row>
    <row r="21" spans="1:12">
      <c r="D21" s="105"/>
      <c r="E21" s="105"/>
      <c r="F21" s="105">
        <f>F20</f>
        <v>519235.61040000001</v>
      </c>
      <c r="G21" s="105">
        <f>G20</f>
        <v>0</v>
      </c>
      <c r="H21" s="105">
        <f>H20</f>
        <v>545197.39092000003</v>
      </c>
      <c r="I21" s="236">
        <f>I20</f>
        <v>0</v>
      </c>
      <c r="J21" s="74">
        <f>J20</f>
        <v>556101.33873840002</v>
      </c>
    </row>
    <row r="22" spans="1:12">
      <c r="A22" s="71" t="s">
        <v>927</v>
      </c>
      <c r="D22" s="105"/>
      <c r="E22" s="105"/>
      <c r="F22" s="105"/>
      <c r="G22" s="105"/>
      <c r="H22" s="105"/>
      <c r="I22" s="236"/>
      <c r="J22" s="74"/>
    </row>
    <row r="23" spans="1:12">
      <c r="A23" s="79">
        <v>274</v>
      </c>
      <c r="B23" s="79">
        <v>266</v>
      </c>
      <c r="C23" s="79" t="s">
        <v>414</v>
      </c>
      <c r="D23" s="104">
        <v>120000</v>
      </c>
      <c r="E23" s="104">
        <v>7395</v>
      </c>
      <c r="F23" s="104">
        <v>10000</v>
      </c>
      <c r="G23" s="104">
        <v>4560</v>
      </c>
      <c r="H23" s="104">
        <f>RME!H18</f>
        <v>10000</v>
      </c>
      <c r="I23" s="235">
        <v>4560</v>
      </c>
      <c r="J23" s="84">
        <v>120000</v>
      </c>
      <c r="K23" s="165">
        <f>+E23/8*12</f>
        <v>11092.5</v>
      </c>
      <c r="L23" s="293">
        <f>I23/7*12</f>
        <v>7817.1428571428569</v>
      </c>
    </row>
    <row r="24" spans="1:12">
      <c r="D24" s="105"/>
      <c r="E24" s="105"/>
      <c r="F24" s="105">
        <f>F23</f>
        <v>10000</v>
      </c>
      <c r="G24" s="105">
        <f>G23</f>
        <v>4560</v>
      </c>
      <c r="H24" s="105">
        <f>H23</f>
        <v>10000</v>
      </c>
      <c r="I24" s="236">
        <f>I23</f>
        <v>4560</v>
      </c>
      <c r="J24" s="74">
        <f>J23</f>
        <v>120000</v>
      </c>
    </row>
    <row r="25" spans="1:12">
      <c r="A25" s="71" t="s">
        <v>1032</v>
      </c>
      <c r="D25" s="105"/>
      <c r="E25" s="105"/>
      <c r="F25" s="105"/>
      <c r="G25" s="105"/>
      <c r="H25" s="105"/>
      <c r="I25" s="236"/>
      <c r="J25" s="74"/>
    </row>
    <row r="26" spans="1:12" s="182" customFormat="1">
      <c r="A26" s="88">
        <v>274</v>
      </c>
      <c r="B26" s="88">
        <v>256</v>
      </c>
      <c r="C26" s="88" t="s">
        <v>350</v>
      </c>
      <c r="D26" s="111">
        <v>345560</v>
      </c>
      <c r="E26" s="111">
        <v>310059.17</v>
      </c>
      <c r="F26" s="111">
        <v>0</v>
      </c>
      <c r="G26" s="111"/>
      <c r="H26" s="111">
        <f>'FREE BASIC CHARGE'!H4</f>
        <v>265445</v>
      </c>
      <c r="I26" s="250">
        <v>166291.82999999999</v>
      </c>
      <c r="J26" s="89">
        <v>300000</v>
      </c>
      <c r="K26" s="77"/>
      <c r="L26" s="293">
        <f>I26/7*12</f>
        <v>285071.70857142855</v>
      </c>
    </row>
    <row r="27" spans="1:12">
      <c r="D27" s="105"/>
      <c r="E27" s="105"/>
      <c r="F27" s="105">
        <f>F26</f>
        <v>0</v>
      </c>
      <c r="G27" s="105">
        <f>G26</f>
        <v>0</v>
      </c>
      <c r="H27" s="105">
        <f>H26</f>
        <v>265445</v>
      </c>
      <c r="I27" s="236">
        <f>I26</f>
        <v>166291.82999999999</v>
      </c>
      <c r="J27" s="74">
        <f>J26</f>
        <v>300000</v>
      </c>
    </row>
    <row r="28" spans="1:12">
      <c r="A28" s="71" t="s">
        <v>1034</v>
      </c>
      <c r="D28" s="105"/>
      <c r="E28" s="105"/>
      <c r="F28" s="105"/>
      <c r="G28" s="105"/>
      <c r="H28" s="105"/>
      <c r="I28" s="236"/>
      <c r="J28" s="74"/>
    </row>
    <row r="29" spans="1:12">
      <c r="A29" s="79">
        <v>274</v>
      </c>
      <c r="B29" s="79">
        <v>173</v>
      </c>
      <c r="C29" s="79" t="s">
        <v>394</v>
      </c>
      <c r="D29" s="104">
        <v>1080000</v>
      </c>
      <c r="E29" s="104">
        <v>0</v>
      </c>
      <c r="F29" s="104">
        <v>381000</v>
      </c>
      <c r="G29" s="104">
        <v>0</v>
      </c>
      <c r="H29" s="104">
        <f>'CONTRACTED SERVICES'!H9</f>
        <v>0</v>
      </c>
      <c r="I29" s="98">
        <v>0</v>
      </c>
      <c r="J29" s="84">
        <v>1000000</v>
      </c>
      <c r="K29" s="165">
        <f>+E29/8*12</f>
        <v>0</v>
      </c>
      <c r="L29" s="293">
        <f>I29/7*12</f>
        <v>0</v>
      </c>
    </row>
    <row r="30" spans="1:12">
      <c r="A30" s="79">
        <v>274</v>
      </c>
      <c r="B30" s="79">
        <v>235</v>
      </c>
      <c r="C30" s="79" t="s">
        <v>406</v>
      </c>
      <c r="D30" s="104">
        <v>1510000</v>
      </c>
      <c r="E30" s="104">
        <v>1048675.74</v>
      </c>
      <c r="F30" s="104">
        <v>1500000</v>
      </c>
      <c r="G30" s="104">
        <v>1154395.3899999999</v>
      </c>
      <c r="H30" s="104">
        <f>'CONTRACTED SERVICES'!H10</f>
        <v>1316010.74</v>
      </c>
      <c r="I30" s="235">
        <v>1154395.3899999999</v>
      </c>
      <c r="J30" s="84">
        <v>1500000</v>
      </c>
      <c r="K30" s="165">
        <f>+E30/8*12</f>
        <v>1573013.6099999999</v>
      </c>
      <c r="L30" s="293">
        <f>I30/7*12</f>
        <v>1978963.5257142854</v>
      </c>
    </row>
    <row r="31" spans="1:12">
      <c r="A31" s="71"/>
      <c r="D31" s="105"/>
      <c r="E31" s="105"/>
      <c r="F31" s="105">
        <f>SUM(F29:F30)</f>
        <v>1881000</v>
      </c>
      <c r="G31" s="105">
        <f>SUM(G29:G30)</f>
        <v>1154395.3899999999</v>
      </c>
      <c r="H31" s="105">
        <f>SUM(H29:H30)</f>
        <v>1316010.74</v>
      </c>
      <c r="I31" s="236">
        <f>SUM(I29:I30)</f>
        <v>1154395.3899999999</v>
      </c>
      <c r="J31" s="74">
        <f>SUM(J29:J30)</f>
        <v>2500000</v>
      </c>
    </row>
    <row r="32" spans="1:12">
      <c r="A32" s="71" t="s">
        <v>1018</v>
      </c>
      <c r="D32" s="105"/>
      <c r="E32" s="105"/>
      <c r="F32" s="105"/>
      <c r="G32" s="105"/>
      <c r="H32" s="105"/>
      <c r="I32" s="236"/>
      <c r="J32" s="74"/>
    </row>
    <row r="33" spans="1:12">
      <c r="A33" s="79">
        <v>274</v>
      </c>
      <c r="B33" s="79">
        <v>303</v>
      </c>
      <c r="C33" s="79" t="s">
        <v>416</v>
      </c>
      <c r="D33" s="104">
        <v>2800000</v>
      </c>
      <c r="E33" s="104">
        <v>795760.29</v>
      </c>
      <c r="F33" s="104">
        <v>1200000</v>
      </c>
      <c r="G33" s="104">
        <v>0</v>
      </c>
      <c r="H33" s="104">
        <v>1200000</v>
      </c>
      <c r="I33" s="98"/>
      <c r="J33" s="84">
        <v>1200000</v>
      </c>
      <c r="K33" s="165">
        <f>+E33/8*12</f>
        <v>1193640.4350000001</v>
      </c>
    </row>
    <row r="34" spans="1:12">
      <c r="D34" s="105"/>
      <c r="E34" s="105"/>
      <c r="F34" s="105">
        <f>F33</f>
        <v>1200000</v>
      </c>
      <c r="G34" s="105">
        <f>G33</f>
        <v>0</v>
      </c>
      <c r="H34" s="105">
        <f>H33</f>
        <v>1200000</v>
      </c>
      <c r="I34" s="236">
        <f>I33</f>
        <v>0</v>
      </c>
      <c r="J34" s="74">
        <f>J33</f>
        <v>1200000</v>
      </c>
    </row>
    <row r="35" spans="1:12">
      <c r="A35" s="71" t="s">
        <v>1017</v>
      </c>
      <c r="D35" s="105"/>
      <c r="E35" s="105"/>
      <c r="F35" s="105"/>
      <c r="G35" s="105"/>
      <c r="H35" s="105"/>
      <c r="I35" s="236"/>
      <c r="J35" s="74"/>
    </row>
    <row r="36" spans="1:12">
      <c r="A36" s="79">
        <v>274</v>
      </c>
      <c r="B36" s="79">
        <v>117</v>
      </c>
      <c r="C36" s="79" t="s">
        <v>338</v>
      </c>
      <c r="D36" s="104">
        <v>10520500</v>
      </c>
      <c r="E36" s="104">
        <v>19752913.690000001</v>
      </c>
      <c r="F36" s="104">
        <v>9387508</v>
      </c>
      <c r="G36" s="104">
        <v>4847043.75</v>
      </c>
      <c r="H36" s="104">
        <f>'NON CASH'!H26</f>
        <v>9387508</v>
      </c>
      <c r="I36" s="235">
        <v>4836383.43</v>
      </c>
      <c r="J36" s="84">
        <f>6000000+636369.65</f>
        <v>6636369.6500000004</v>
      </c>
      <c r="K36" s="165">
        <f>+E36/8*12</f>
        <v>29629370.535000004</v>
      </c>
    </row>
    <row r="37" spans="1:12">
      <c r="A37" s="71"/>
      <c r="D37" s="105"/>
      <c r="E37" s="105"/>
      <c r="F37" s="105">
        <f>F36</f>
        <v>9387508</v>
      </c>
      <c r="G37" s="105">
        <f>G36</f>
        <v>4847043.75</v>
      </c>
      <c r="H37" s="105">
        <f>H36</f>
        <v>9387508</v>
      </c>
      <c r="I37" s="236">
        <f>I36</f>
        <v>4836383.43</v>
      </c>
      <c r="J37" s="74">
        <f>J36</f>
        <v>6636369.6500000004</v>
      </c>
    </row>
    <row r="38" spans="1:12">
      <c r="A38" s="71"/>
      <c r="D38" s="105"/>
      <c r="E38" s="105"/>
      <c r="F38" s="105"/>
      <c r="G38" s="105"/>
      <c r="H38" s="105"/>
      <c r="I38" s="236"/>
      <c r="J38" s="74"/>
    </row>
    <row r="39" spans="1:12" s="71" customFormat="1">
      <c r="A39" s="71" t="s">
        <v>924</v>
      </c>
      <c r="D39" s="108"/>
      <c r="E39" s="108"/>
      <c r="F39" s="108"/>
      <c r="G39" s="108"/>
      <c r="H39" s="108"/>
      <c r="I39" s="238"/>
      <c r="J39" s="70"/>
      <c r="K39" s="70"/>
      <c r="L39" s="295"/>
    </row>
    <row r="40" spans="1:12">
      <c r="A40" s="79">
        <v>274</v>
      </c>
      <c r="B40" s="79">
        <v>108</v>
      </c>
      <c r="C40" s="79" t="s">
        <v>385</v>
      </c>
      <c r="D40" s="104">
        <v>300000</v>
      </c>
      <c r="E40" s="104">
        <v>-18589.849999999999</v>
      </c>
      <c r="F40" s="104">
        <v>0</v>
      </c>
      <c r="G40" s="104"/>
      <c r="H40" s="104">
        <v>0</v>
      </c>
      <c r="I40" s="235"/>
      <c r="J40" s="84">
        <v>300000</v>
      </c>
      <c r="K40" s="165">
        <f>+E40/8*12</f>
        <v>-27884.774999999998</v>
      </c>
      <c r="L40" s="293">
        <f>I40/7*12</f>
        <v>0</v>
      </c>
    </row>
    <row r="41" spans="1:12">
      <c r="A41" s="79">
        <v>274</v>
      </c>
      <c r="B41" s="79">
        <v>119</v>
      </c>
      <c r="C41" s="79" t="s">
        <v>388</v>
      </c>
      <c r="D41" s="104">
        <v>550000</v>
      </c>
      <c r="E41" s="104">
        <v>353846.21</v>
      </c>
      <c r="F41" s="104">
        <v>531000</v>
      </c>
      <c r="G41" s="104">
        <v>276943.09000000003</v>
      </c>
      <c r="H41" s="104">
        <v>531000</v>
      </c>
      <c r="I41" s="235">
        <v>327979.52000000002</v>
      </c>
      <c r="J41" s="84">
        <v>580000</v>
      </c>
      <c r="K41" s="165">
        <f t="shared" ref="K41:K55" si="3">+E41/8*12</f>
        <v>530769.31500000006</v>
      </c>
      <c r="L41" s="293">
        <f t="shared" ref="L41:L55" si="4">I41/7*12</f>
        <v>562250.60571428575</v>
      </c>
    </row>
    <row r="42" spans="1:12">
      <c r="A42" s="79">
        <v>274</v>
      </c>
      <c r="B42" s="79">
        <v>121</v>
      </c>
      <c r="C42" s="79" t="s">
        <v>390</v>
      </c>
      <c r="D42" s="104">
        <v>1000</v>
      </c>
      <c r="E42" s="104">
        <v>247.77</v>
      </c>
      <c r="F42" s="104">
        <v>500</v>
      </c>
      <c r="G42" s="104">
        <v>93.1</v>
      </c>
      <c r="H42" s="104">
        <v>500</v>
      </c>
      <c r="I42" s="98">
        <v>95.53</v>
      </c>
      <c r="J42" s="84">
        <v>200</v>
      </c>
      <c r="K42" s="165">
        <f t="shared" si="3"/>
        <v>371.65500000000003</v>
      </c>
      <c r="L42" s="293">
        <f t="shared" si="4"/>
        <v>163.7657142857143</v>
      </c>
    </row>
    <row r="43" spans="1:12">
      <c r="A43" s="79">
        <v>274</v>
      </c>
      <c r="B43" s="79">
        <v>123</v>
      </c>
      <c r="C43" s="79" t="s">
        <v>187</v>
      </c>
      <c r="D43" s="104">
        <v>10000</v>
      </c>
      <c r="E43" s="104">
        <v>0</v>
      </c>
      <c r="F43" s="104">
        <v>0</v>
      </c>
      <c r="G43" s="104"/>
      <c r="H43" s="104">
        <v>0</v>
      </c>
      <c r="I43" s="235"/>
      <c r="J43" s="84">
        <v>2000</v>
      </c>
      <c r="K43" s="165">
        <f t="shared" si="3"/>
        <v>0</v>
      </c>
      <c r="L43" s="293">
        <f t="shared" si="4"/>
        <v>0</v>
      </c>
    </row>
    <row r="44" spans="1:12">
      <c r="A44" s="79">
        <v>274</v>
      </c>
      <c r="B44" s="79">
        <v>129</v>
      </c>
      <c r="C44" s="79" t="s">
        <v>230</v>
      </c>
      <c r="D44" s="104">
        <v>10000</v>
      </c>
      <c r="E44" s="104">
        <v>0</v>
      </c>
      <c r="F44" s="104">
        <v>230000</v>
      </c>
      <c r="G44" s="104">
        <v>0</v>
      </c>
      <c r="H44" s="104">
        <v>230000</v>
      </c>
      <c r="I44" s="98">
        <v>-92414.13</v>
      </c>
      <c r="J44" s="84">
        <v>20000</v>
      </c>
      <c r="K44" s="165">
        <f t="shared" si="3"/>
        <v>0</v>
      </c>
      <c r="L44" s="293">
        <f t="shared" si="4"/>
        <v>-158424.22285714286</v>
      </c>
    </row>
    <row r="45" spans="1:12">
      <c r="A45" s="79">
        <v>274</v>
      </c>
      <c r="B45" s="79">
        <v>175</v>
      </c>
      <c r="C45" s="79" t="s">
        <v>127</v>
      </c>
      <c r="D45" s="104">
        <v>10000</v>
      </c>
      <c r="E45" s="104">
        <v>816.81</v>
      </c>
      <c r="F45" s="104">
        <v>5000</v>
      </c>
      <c r="G45" s="104">
        <v>208.86</v>
      </c>
      <c r="H45" s="104">
        <v>5000</v>
      </c>
      <c r="I45" s="235">
        <v>247.63</v>
      </c>
      <c r="J45" s="84">
        <v>1000</v>
      </c>
      <c r="K45" s="165">
        <f t="shared" si="3"/>
        <v>1225.2149999999999</v>
      </c>
      <c r="L45" s="293">
        <f t="shared" si="4"/>
        <v>424.50857142857149</v>
      </c>
    </row>
    <row r="46" spans="1:12">
      <c r="A46" s="79">
        <v>274</v>
      </c>
      <c r="B46" s="79">
        <v>183</v>
      </c>
      <c r="C46" s="79" t="s">
        <v>395</v>
      </c>
      <c r="D46" s="104">
        <v>301395.08</v>
      </c>
      <c r="E46" s="104">
        <v>0</v>
      </c>
      <c r="F46" s="104">
        <v>100000</v>
      </c>
      <c r="G46" s="104">
        <v>0</v>
      </c>
      <c r="H46" s="104">
        <v>50000</v>
      </c>
      <c r="I46" s="235">
        <v>0</v>
      </c>
      <c r="J46" s="84">
        <v>0</v>
      </c>
      <c r="K46" s="165">
        <f t="shared" si="3"/>
        <v>0</v>
      </c>
      <c r="L46" s="293">
        <f t="shared" si="4"/>
        <v>0</v>
      </c>
    </row>
    <row r="47" spans="1:12">
      <c r="A47" s="79">
        <v>274</v>
      </c>
      <c r="B47" s="79">
        <v>191</v>
      </c>
      <c r="C47" s="79" t="s">
        <v>201</v>
      </c>
      <c r="D47" s="104">
        <v>10000</v>
      </c>
      <c r="E47" s="104">
        <v>0</v>
      </c>
      <c r="F47" s="104">
        <v>10000</v>
      </c>
      <c r="G47" s="104">
        <v>152448.42000000001</v>
      </c>
      <c r="H47" s="104">
        <v>300000</v>
      </c>
      <c r="I47" s="235">
        <v>152448.42000000001</v>
      </c>
      <c r="J47" s="84">
        <v>500000</v>
      </c>
      <c r="K47" s="165">
        <f t="shared" si="3"/>
        <v>0</v>
      </c>
      <c r="L47" s="293">
        <f t="shared" si="4"/>
        <v>261340.14857142858</v>
      </c>
    </row>
    <row r="48" spans="1:12">
      <c r="A48" s="79">
        <v>274</v>
      </c>
      <c r="B48" s="79">
        <v>193</v>
      </c>
      <c r="C48" s="79" t="s">
        <v>36</v>
      </c>
      <c r="D48" s="104">
        <v>4540000</v>
      </c>
      <c r="E48" s="104">
        <v>2344655.96</v>
      </c>
      <c r="F48" s="104">
        <v>0</v>
      </c>
      <c r="G48" s="104">
        <v>626429.57999999996</v>
      </c>
      <c r="H48" s="104">
        <v>1000000</v>
      </c>
      <c r="I48" s="98">
        <v>729006.07</v>
      </c>
      <c r="J48" s="84">
        <v>800000</v>
      </c>
      <c r="K48" s="165">
        <f t="shared" si="3"/>
        <v>3516983.94</v>
      </c>
      <c r="L48" s="293">
        <f t="shared" si="4"/>
        <v>1249724.6914285715</v>
      </c>
    </row>
    <row r="49" spans="1:12">
      <c r="A49" s="79">
        <v>274</v>
      </c>
      <c r="B49" s="79">
        <v>195</v>
      </c>
      <c r="C49" s="79" t="s">
        <v>38</v>
      </c>
      <c r="D49" s="104">
        <v>270000</v>
      </c>
      <c r="E49" s="104">
        <v>137110.64000000001</v>
      </c>
      <c r="F49" s="104">
        <v>206000</v>
      </c>
      <c r="G49" s="104">
        <v>209844.2</v>
      </c>
      <c r="H49" s="104">
        <v>400000</v>
      </c>
      <c r="I49" s="235">
        <v>212927.39</v>
      </c>
      <c r="J49" s="84">
        <v>200000</v>
      </c>
      <c r="K49" s="165">
        <f t="shared" si="3"/>
        <v>205665.96000000002</v>
      </c>
      <c r="L49" s="293">
        <f t="shared" si="4"/>
        <v>365018.38285714289</v>
      </c>
    </row>
    <row r="50" spans="1:12">
      <c r="A50" s="79">
        <v>274</v>
      </c>
      <c r="B50" s="79">
        <v>197</v>
      </c>
      <c r="C50" s="79" t="s">
        <v>399</v>
      </c>
      <c r="D50" s="104">
        <v>100000</v>
      </c>
      <c r="E50" s="104">
        <v>0</v>
      </c>
      <c r="F50" s="104">
        <v>0</v>
      </c>
      <c r="G50" s="104"/>
      <c r="H50" s="104">
        <v>0</v>
      </c>
      <c r="I50" s="235"/>
      <c r="J50" s="98">
        <v>0</v>
      </c>
      <c r="K50" s="165">
        <f t="shared" si="3"/>
        <v>0</v>
      </c>
      <c r="L50" s="293">
        <f t="shared" si="4"/>
        <v>0</v>
      </c>
    </row>
    <row r="51" spans="1:12">
      <c r="A51" s="79">
        <v>274</v>
      </c>
      <c r="B51" s="79">
        <v>199</v>
      </c>
      <c r="C51" s="79" t="s">
        <v>401</v>
      </c>
      <c r="D51" s="104">
        <v>100000</v>
      </c>
      <c r="E51" s="104">
        <v>0</v>
      </c>
      <c r="F51" s="104">
        <v>0</v>
      </c>
      <c r="G51" s="104"/>
      <c r="H51" s="104">
        <v>0</v>
      </c>
      <c r="I51" s="235"/>
      <c r="J51" s="98">
        <v>0</v>
      </c>
      <c r="K51" s="165">
        <f t="shared" si="3"/>
        <v>0</v>
      </c>
      <c r="L51" s="293">
        <f t="shared" si="4"/>
        <v>0</v>
      </c>
    </row>
    <row r="52" spans="1:12">
      <c r="A52" s="79">
        <v>274</v>
      </c>
      <c r="B52" s="79">
        <v>204</v>
      </c>
      <c r="C52" s="79" t="s">
        <v>42</v>
      </c>
      <c r="D52" s="104">
        <v>1400000</v>
      </c>
      <c r="E52" s="104">
        <v>990824.12</v>
      </c>
      <c r="F52" s="104">
        <v>1500000</v>
      </c>
      <c r="G52" s="104">
        <v>498342.82</v>
      </c>
      <c r="H52" s="104">
        <v>900000</v>
      </c>
      <c r="I52" s="235">
        <v>557522.16</v>
      </c>
      <c r="J52" s="84">
        <v>600000</v>
      </c>
      <c r="K52" s="165">
        <f t="shared" si="3"/>
        <v>1486236.18</v>
      </c>
      <c r="L52" s="293">
        <f t="shared" si="4"/>
        <v>955752.27428571437</v>
      </c>
    </row>
    <row r="53" spans="1:12">
      <c r="A53" s="79">
        <v>274</v>
      </c>
      <c r="B53" s="79">
        <v>243</v>
      </c>
      <c r="C53" s="79" t="s">
        <v>408</v>
      </c>
      <c r="D53" s="104">
        <v>50000</v>
      </c>
      <c r="E53" s="104">
        <v>24550.799999999999</v>
      </c>
      <c r="F53" s="104">
        <v>30000</v>
      </c>
      <c r="G53" s="104">
        <v>13526.61</v>
      </c>
      <c r="H53" s="104">
        <v>30000</v>
      </c>
      <c r="I53" s="235">
        <v>13526.61</v>
      </c>
      <c r="J53" s="84">
        <v>30000</v>
      </c>
      <c r="K53" s="165">
        <f t="shared" si="3"/>
        <v>36826.199999999997</v>
      </c>
      <c r="L53" s="293">
        <f t="shared" si="4"/>
        <v>23188.474285714285</v>
      </c>
    </row>
    <row r="54" spans="1:12">
      <c r="A54" s="79">
        <v>274</v>
      </c>
      <c r="B54" s="79">
        <v>244</v>
      </c>
      <c r="C54" s="79" t="s">
        <v>410</v>
      </c>
      <c r="D54" s="104">
        <v>20000</v>
      </c>
      <c r="E54" s="104">
        <v>1350</v>
      </c>
      <c r="F54" s="104">
        <v>0</v>
      </c>
      <c r="G54" s="104"/>
      <c r="H54" s="104">
        <v>0</v>
      </c>
      <c r="I54" s="235"/>
      <c r="J54" s="84">
        <v>0</v>
      </c>
      <c r="K54" s="165">
        <f t="shared" si="3"/>
        <v>2025</v>
      </c>
      <c r="L54" s="293">
        <f t="shared" si="4"/>
        <v>0</v>
      </c>
    </row>
    <row r="55" spans="1:12">
      <c r="A55" s="79">
        <v>274</v>
      </c>
      <c r="B55" s="79">
        <v>246</v>
      </c>
      <c r="C55" s="79" t="s">
        <v>412</v>
      </c>
      <c r="D55" s="104">
        <v>300000</v>
      </c>
      <c r="E55" s="104">
        <v>150471.99</v>
      </c>
      <c r="F55" s="104">
        <v>0</v>
      </c>
      <c r="G55" s="104">
        <v>99935.95</v>
      </c>
      <c r="H55" s="104">
        <v>200000</v>
      </c>
      <c r="I55" s="235">
        <v>99935.95</v>
      </c>
      <c r="J55" s="84">
        <v>172000</v>
      </c>
      <c r="K55" s="165">
        <f t="shared" si="3"/>
        <v>225707.98499999999</v>
      </c>
      <c r="L55" s="293">
        <f t="shared" si="4"/>
        <v>171318.77142857143</v>
      </c>
    </row>
    <row r="56" spans="1:12">
      <c r="D56" s="105">
        <f t="shared" ref="D56:I56" si="5">SUM(D40:D55)</f>
        <v>7972395.0800000001</v>
      </c>
      <c r="E56" s="105">
        <f t="shared" si="5"/>
        <v>3985284.45</v>
      </c>
      <c r="F56" s="105">
        <f t="shared" si="5"/>
        <v>2612500</v>
      </c>
      <c r="G56" s="105">
        <f t="shared" si="5"/>
        <v>1877772.63</v>
      </c>
      <c r="H56" s="105">
        <f t="shared" si="5"/>
        <v>3646500</v>
      </c>
      <c r="I56" s="236">
        <f t="shared" si="5"/>
        <v>2001275.1500000004</v>
      </c>
      <c r="J56" s="74">
        <f>SUM(J40:J55)</f>
        <v>3205200</v>
      </c>
    </row>
    <row r="57" spans="1:12">
      <c r="A57" s="71" t="s">
        <v>928</v>
      </c>
      <c r="D57" s="102"/>
      <c r="E57" s="102"/>
      <c r="F57" s="102"/>
      <c r="G57" s="102"/>
      <c r="H57" s="102"/>
      <c r="I57" s="239"/>
    </row>
    <row r="58" spans="1:12">
      <c r="A58" s="79">
        <v>274</v>
      </c>
      <c r="B58" s="79">
        <v>456</v>
      </c>
      <c r="C58" s="79" t="s">
        <v>226</v>
      </c>
      <c r="D58" s="104">
        <v>85000</v>
      </c>
      <c r="E58" s="104">
        <v>76326.59</v>
      </c>
      <c r="F58" s="104">
        <v>70000</v>
      </c>
      <c r="G58" s="104">
        <v>104313.15</v>
      </c>
      <c r="H58" s="104">
        <f>CAPITAL!F7</f>
        <v>150000</v>
      </c>
      <c r="I58" s="235">
        <v>104313.15</v>
      </c>
      <c r="J58" s="98">
        <v>500000</v>
      </c>
      <c r="L58" s="293">
        <f>I58/7*12</f>
        <v>178822.54285714286</v>
      </c>
    </row>
    <row r="59" spans="1:12">
      <c r="A59" s="79">
        <v>274</v>
      </c>
      <c r="B59" s="79">
        <v>457</v>
      </c>
      <c r="C59" s="79" t="s">
        <v>985</v>
      </c>
      <c r="D59" s="104">
        <v>750000</v>
      </c>
      <c r="E59" s="104">
        <v>192203.79</v>
      </c>
      <c r="F59" s="104">
        <v>1154000</v>
      </c>
      <c r="G59" s="104">
        <v>401730</v>
      </c>
      <c r="H59" s="104">
        <f>CAPITAL!F6</f>
        <v>1154000</v>
      </c>
      <c r="I59" s="235">
        <v>401730</v>
      </c>
      <c r="J59" s="98">
        <v>1815000</v>
      </c>
      <c r="L59" s="293">
        <f>I59/7*12</f>
        <v>688680</v>
      </c>
    </row>
    <row r="60" spans="1:12">
      <c r="D60" s="105">
        <f t="shared" ref="D60:J60" si="6">SUM(D58:D59)</f>
        <v>835000</v>
      </c>
      <c r="E60" s="105">
        <f t="shared" si="6"/>
        <v>268530.38</v>
      </c>
      <c r="F60" s="105">
        <f t="shared" si="6"/>
        <v>1224000</v>
      </c>
      <c r="G60" s="105">
        <f t="shared" si="6"/>
        <v>506043.15</v>
      </c>
      <c r="H60" s="105">
        <f t="shared" si="6"/>
        <v>1304000</v>
      </c>
      <c r="I60" s="236">
        <f t="shared" si="6"/>
        <v>506043.15</v>
      </c>
      <c r="J60" s="74">
        <f t="shared" si="6"/>
        <v>2315000</v>
      </c>
    </row>
    <row r="61" spans="1:12">
      <c r="A61" s="71"/>
      <c r="D61" s="102"/>
      <c r="E61" s="102"/>
      <c r="F61" s="102"/>
      <c r="G61" s="102"/>
      <c r="H61" s="102"/>
      <c r="I61" s="239"/>
    </row>
    <row r="62" spans="1:12" s="71" customFormat="1">
      <c r="A62" s="71" t="s">
        <v>923</v>
      </c>
      <c r="D62" s="108"/>
      <c r="E62" s="108"/>
      <c r="F62" s="108"/>
      <c r="G62" s="108"/>
      <c r="H62" s="108"/>
      <c r="I62" s="238"/>
      <c r="J62" s="70"/>
      <c r="K62" s="70"/>
      <c r="L62" s="295"/>
    </row>
    <row r="63" spans="1:12">
      <c r="A63" s="79">
        <v>274</v>
      </c>
      <c r="B63" s="79">
        <v>8806</v>
      </c>
      <c r="C63" s="79" t="s">
        <v>420</v>
      </c>
      <c r="D63" s="104">
        <v>0</v>
      </c>
      <c r="E63" s="104">
        <v>-165328.44</v>
      </c>
      <c r="F63" s="104">
        <v>0</v>
      </c>
      <c r="G63" s="104">
        <v>21967</v>
      </c>
      <c r="H63" s="104">
        <v>0</v>
      </c>
      <c r="I63" s="98">
        <v>21967</v>
      </c>
      <c r="J63" s="84"/>
      <c r="K63" s="165">
        <f t="shared" ref="K63:K72" si="7">+E63/8*12</f>
        <v>-247992.66</v>
      </c>
      <c r="L63" s="293">
        <f t="shared" ref="L63:L79" si="8">I63/7*12</f>
        <v>37657.71428571429</v>
      </c>
    </row>
    <row r="64" spans="1:12">
      <c r="A64" s="79">
        <v>274</v>
      </c>
      <c r="B64" s="79">
        <v>8821</v>
      </c>
      <c r="C64" s="79" t="s">
        <v>422</v>
      </c>
      <c r="D64" s="104">
        <v>0</v>
      </c>
      <c r="E64" s="104">
        <v>-27653.4</v>
      </c>
      <c r="F64" s="104">
        <f>-42000</f>
        <v>-42000</v>
      </c>
      <c r="G64" s="104">
        <v>-8771.92</v>
      </c>
      <c r="H64" s="104">
        <f>'OTHER REVENUE'!H22</f>
        <v>-42000</v>
      </c>
      <c r="I64" s="235">
        <v>-8771.92</v>
      </c>
      <c r="J64" s="84">
        <v>-20000</v>
      </c>
      <c r="K64" s="165">
        <f t="shared" si="7"/>
        <v>-41480.100000000006</v>
      </c>
      <c r="L64" s="293">
        <f t="shared" si="8"/>
        <v>-15037.577142857142</v>
      </c>
    </row>
    <row r="65" spans="1:17">
      <c r="A65" s="79">
        <v>274</v>
      </c>
      <c r="B65" s="79">
        <v>8823</v>
      </c>
      <c r="C65" s="79" t="s">
        <v>230</v>
      </c>
      <c r="D65" s="104">
        <v>0</v>
      </c>
      <c r="E65" s="104">
        <v>-75301.34</v>
      </c>
      <c r="F65" s="104">
        <f>-50000+-50000000</f>
        <v>-50050000</v>
      </c>
      <c r="G65" s="104">
        <v>-80996.5</v>
      </c>
      <c r="H65" s="104">
        <f>'OTHER REVENUE'!H23+-30000000</f>
        <v>-30140000</v>
      </c>
      <c r="I65" s="235">
        <v>-92414.13</v>
      </c>
      <c r="J65" s="84">
        <v>-170000</v>
      </c>
      <c r="K65" s="165">
        <f t="shared" si="7"/>
        <v>-112952.01</v>
      </c>
      <c r="L65" s="293">
        <f t="shared" si="8"/>
        <v>-158424.22285714286</v>
      </c>
    </row>
    <row r="66" spans="1:17">
      <c r="A66" s="79">
        <v>274</v>
      </c>
      <c r="B66" s="79">
        <v>8829</v>
      </c>
      <c r="C66" s="79" t="s">
        <v>425</v>
      </c>
      <c r="D66" s="104">
        <v>-23320000</v>
      </c>
      <c r="E66" s="104">
        <v>-23615778.140000001</v>
      </c>
      <c r="F66" s="104">
        <v>-37549087</v>
      </c>
      <c r="G66" s="104">
        <v>-19300236.32</v>
      </c>
      <c r="H66" s="104">
        <f>F66</f>
        <v>-37549087</v>
      </c>
      <c r="I66" s="290">
        <v>-22108965.34</v>
      </c>
      <c r="J66" s="84">
        <f>L66</f>
        <v>-40175148.446400002</v>
      </c>
      <c r="K66" s="165">
        <f t="shared" si="7"/>
        <v>-35423667.210000001</v>
      </c>
      <c r="L66" s="293">
        <f>I66/7*12*1.06</f>
        <v>-40175148.446400002</v>
      </c>
      <c r="N66" s="38"/>
    </row>
    <row r="67" spans="1:17">
      <c r="A67" s="79">
        <v>276</v>
      </c>
      <c r="B67" s="79">
        <v>8842</v>
      </c>
      <c r="C67" s="79" t="s">
        <v>490</v>
      </c>
      <c r="D67" s="104">
        <v>0</v>
      </c>
      <c r="E67" s="104">
        <v>12502052.93</v>
      </c>
      <c r="F67" s="104">
        <f>K67</f>
        <v>18753079.395</v>
      </c>
      <c r="G67" s="104">
        <v>10338701.67</v>
      </c>
      <c r="H67" s="104">
        <f>F67</f>
        <v>18753079.395</v>
      </c>
      <c r="I67" s="290">
        <v>11802317.73</v>
      </c>
      <c r="J67" s="84">
        <f>L67</f>
        <v>21446497.360800002</v>
      </c>
      <c r="K67" s="165">
        <f>E67/8*12</f>
        <v>18753079.395</v>
      </c>
      <c r="L67" s="293">
        <f>I67/7*12*1.06</f>
        <v>21446497.360800002</v>
      </c>
    </row>
    <row r="68" spans="1:17">
      <c r="A68" s="79">
        <v>274</v>
      </c>
      <c r="B68" s="79">
        <v>8831</v>
      </c>
      <c r="C68" s="79" t="s">
        <v>165</v>
      </c>
      <c r="D68" s="104">
        <v>-50000</v>
      </c>
      <c r="E68" s="104">
        <v>-934000</v>
      </c>
      <c r="F68" s="104">
        <f>GRANTS!G21</f>
        <v>-82000</v>
      </c>
      <c r="G68" s="104">
        <v>-930000</v>
      </c>
      <c r="H68" s="104">
        <f>GRANTS!H21</f>
        <v>-82000</v>
      </c>
      <c r="I68" s="291">
        <v>-930000</v>
      </c>
      <c r="J68" s="84">
        <f>GRANTS!I21</f>
        <v>-252000</v>
      </c>
      <c r="K68" s="165">
        <f t="shared" si="7"/>
        <v>-1401000</v>
      </c>
      <c r="L68" s="293">
        <f t="shared" si="8"/>
        <v>-1594285.7142857146</v>
      </c>
    </row>
    <row r="69" spans="1:17">
      <c r="A69" s="79">
        <v>274</v>
      </c>
      <c r="B69" s="79">
        <v>8832</v>
      </c>
      <c r="C69" s="79" t="s">
        <v>428</v>
      </c>
      <c r="D69" s="104">
        <v>0</v>
      </c>
      <c r="E69" s="104">
        <v>-1600000</v>
      </c>
      <c r="F69" s="104">
        <f>GRANTS!G22</f>
        <v>-1450000</v>
      </c>
      <c r="G69" s="104">
        <v>-1600000</v>
      </c>
      <c r="H69" s="104">
        <f>GRANTS!H22</f>
        <v>-1450000</v>
      </c>
      <c r="I69" s="291">
        <v>-1600000</v>
      </c>
      <c r="J69" s="84">
        <f>GRANTS!I22</f>
        <v>-1450000</v>
      </c>
      <c r="K69" s="165">
        <f t="shared" si="7"/>
        <v>-2400000</v>
      </c>
      <c r="L69" s="293">
        <f t="shared" si="8"/>
        <v>-2742857.1428571427</v>
      </c>
    </row>
    <row r="70" spans="1:17">
      <c r="A70" s="79">
        <v>274</v>
      </c>
      <c r="B70" s="79">
        <v>8835</v>
      </c>
      <c r="C70" s="79" t="s">
        <v>430</v>
      </c>
      <c r="D70" s="104">
        <v>0</v>
      </c>
      <c r="E70" s="104">
        <v>-1104000</v>
      </c>
      <c r="F70" s="104">
        <v>0</v>
      </c>
      <c r="G70" s="104">
        <v>-776000</v>
      </c>
      <c r="H70" s="104">
        <f>GRANTS!H23</f>
        <v>0</v>
      </c>
      <c r="I70" s="291">
        <v>-776000</v>
      </c>
      <c r="J70" s="84">
        <f>GRANTS!I23</f>
        <v>0</v>
      </c>
      <c r="K70" s="165">
        <f t="shared" si="7"/>
        <v>-1656000</v>
      </c>
      <c r="L70" s="293">
        <f t="shared" si="8"/>
        <v>-1330285.7142857143</v>
      </c>
    </row>
    <row r="71" spans="1:17">
      <c r="A71" s="79">
        <v>274</v>
      </c>
      <c r="B71" s="79">
        <v>8875</v>
      </c>
      <c r="C71" s="79" t="s">
        <v>431</v>
      </c>
      <c r="D71" s="104">
        <v>0</v>
      </c>
      <c r="E71" s="104">
        <v>-56189000</v>
      </c>
      <c r="F71" s="104">
        <f>GRANTS!G24</f>
        <v>-466000</v>
      </c>
      <c r="G71" s="104">
        <v>-58639000</v>
      </c>
      <c r="H71" s="104">
        <f>GRANTS!H24</f>
        <v>-466000</v>
      </c>
      <c r="I71" s="291">
        <v>-58639000</v>
      </c>
      <c r="J71" s="84">
        <f>GRANTS!I24</f>
        <v>-466000</v>
      </c>
      <c r="K71" s="165">
        <f t="shared" si="7"/>
        <v>-84283500</v>
      </c>
      <c r="L71" s="293">
        <f t="shared" si="8"/>
        <v>-100524000</v>
      </c>
    </row>
    <row r="72" spans="1:17">
      <c r="A72" s="79">
        <v>274</v>
      </c>
      <c r="B72" s="79">
        <v>8877</v>
      </c>
      <c r="C72" s="79" t="s">
        <v>433</v>
      </c>
      <c r="D72" s="104">
        <v>0</v>
      </c>
      <c r="E72" s="104">
        <v>-19407000</v>
      </c>
      <c r="F72" s="104">
        <v>0</v>
      </c>
      <c r="G72" s="104">
        <v>-16677000</v>
      </c>
      <c r="H72" s="104">
        <f>GRANTS!H25</f>
        <v>0</v>
      </c>
      <c r="I72" s="291">
        <v>-16677000</v>
      </c>
      <c r="J72" s="84">
        <f>GRANTS!I25</f>
        <v>0</v>
      </c>
      <c r="K72" s="165">
        <f t="shared" si="7"/>
        <v>-29110500</v>
      </c>
      <c r="L72" s="293">
        <f t="shared" si="8"/>
        <v>-28589142.857142858</v>
      </c>
    </row>
    <row r="73" spans="1:17">
      <c r="A73" s="79">
        <v>274</v>
      </c>
      <c r="B73" s="79">
        <v>8957</v>
      </c>
      <c r="C73" s="79" t="s">
        <v>434</v>
      </c>
      <c r="D73" s="104">
        <v>-18762000</v>
      </c>
      <c r="E73" s="104">
        <v>-13528678.23</v>
      </c>
      <c r="F73" s="104">
        <v>-12000000</v>
      </c>
      <c r="G73" s="104">
        <v>-11288708.98</v>
      </c>
      <c r="H73" s="104">
        <v>-22577416</v>
      </c>
      <c r="I73" s="290">
        <v>-13264906.789999999</v>
      </c>
      <c r="J73" s="84">
        <f>-23000000+-12727393</f>
        <v>-35727393</v>
      </c>
      <c r="K73" s="165">
        <f>+E73/8*12</f>
        <v>-20293017.344999999</v>
      </c>
      <c r="L73" s="293">
        <f t="shared" si="8"/>
        <v>-22739840.211428568</v>
      </c>
    </row>
    <row r="74" spans="1:17">
      <c r="A74" s="79">
        <v>274</v>
      </c>
      <c r="B74" s="79">
        <v>8959</v>
      </c>
      <c r="C74" s="79" t="s">
        <v>436</v>
      </c>
      <c r="D74" s="104">
        <v>-500000</v>
      </c>
      <c r="E74" s="104">
        <v>-428689.67</v>
      </c>
      <c r="F74" s="104">
        <v>-644000</v>
      </c>
      <c r="G74" s="104">
        <v>-273798.40999999997</v>
      </c>
      <c r="H74" s="104">
        <v>-600000</v>
      </c>
      <c r="I74" s="291">
        <v>-273798.40999999997</v>
      </c>
      <c r="J74" s="84">
        <v>-400000</v>
      </c>
      <c r="K74" s="165">
        <f t="shared" ref="K74:K80" si="9">+E74/8*12</f>
        <v>-643034.505</v>
      </c>
      <c r="L74" s="293">
        <f t="shared" si="8"/>
        <v>-469368.70285714284</v>
      </c>
    </row>
    <row r="75" spans="1:17">
      <c r="A75" s="79">
        <v>274</v>
      </c>
      <c r="B75" s="79">
        <v>8962</v>
      </c>
      <c r="C75" s="79" t="s">
        <v>438</v>
      </c>
      <c r="D75" s="104">
        <v>0</v>
      </c>
      <c r="E75" s="104">
        <v>-5517.54</v>
      </c>
      <c r="F75" s="104">
        <v>-8300</v>
      </c>
      <c r="G75" s="104">
        <v>-49229.29</v>
      </c>
      <c r="H75" s="104">
        <f>'OTHER REVENUE'!H24</f>
        <v>-80000</v>
      </c>
      <c r="I75" s="235">
        <v>-50636.37</v>
      </c>
      <c r="J75" s="84">
        <v>-87000</v>
      </c>
      <c r="K75" s="165">
        <f t="shared" si="9"/>
        <v>-8276.31</v>
      </c>
      <c r="L75" s="293">
        <f t="shared" si="8"/>
        <v>-86805.205714285723</v>
      </c>
    </row>
    <row r="76" spans="1:17">
      <c r="A76" s="79">
        <v>274</v>
      </c>
      <c r="B76" s="79">
        <v>8968</v>
      </c>
      <c r="C76" s="79" t="s">
        <v>1098</v>
      </c>
      <c r="D76" s="104"/>
      <c r="E76" s="104"/>
      <c r="F76" s="104">
        <v>0</v>
      </c>
      <c r="G76" s="104">
        <v>-1225.3599999999999</v>
      </c>
      <c r="H76" s="104">
        <v>-2000</v>
      </c>
      <c r="I76" s="235">
        <v>-1225.3599999999999</v>
      </c>
      <c r="J76" s="84">
        <v>-2200</v>
      </c>
      <c r="K76" s="165"/>
      <c r="L76" s="293">
        <f t="shared" si="8"/>
        <v>-2100.6171428571424</v>
      </c>
    </row>
    <row r="77" spans="1:17" ht="15.75" thickBot="1">
      <c r="A77" s="79">
        <v>274</v>
      </c>
      <c r="B77" s="79">
        <v>8973</v>
      </c>
      <c r="C77" s="79" t="s">
        <v>440</v>
      </c>
      <c r="D77" s="104">
        <v>-700</v>
      </c>
      <c r="E77" s="104">
        <v>-682.34</v>
      </c>
      <c r="F77" s="104">
        <v>-1000</v>
      </c>
      <c r="G77" s="104">
        <v>-284.29000000000002</v>
      </c>
      <c r="H77" s="104">
        <f>'OTHER REVENUE'!H26</f>
        <v>-1000</v>
      </c>
      <c r="I77" s="235">
        <v>-1205.3399999999999</v>
      </c>
      <c r="J77" s="84">
        <v>-1400</v>
      </c>
      <c r="K77" s="165">
        <f t="shared" si="9"/>
        <v>-1023.51</v>
      </c>
      <c r="L77" s="293">
        <f t="shared" si="8"/>
        <v>-2066.2971428571427</v>
      </c>
    </row>
    <row r="78" spans="1:17" ht="15.75" thickBot="1">
      <c r="A78" s="79">
        <v>274</v>
      </c>
      <c r="B78" s="79">
        <v>9015</v>
      </c>
      <c r="C78" s="79" t="s">
        <v>442</v>
      </c>
      <c r="D78" s="104">
        <v>-13000</v>
      </c>
      <c r="E78" s="104">
        <v>-6361.67</v>
      </c>
      <c r="F78" s="104">
        <v>-7000</v>
      </c>
      <c r="G78" s="104">
        <v>-5340.66</v>
      </c>
      <c r="H78" s="104">
        <f>'OTHER REVENUE'!H27</f>
        <v>-10000</v>
      </c>
      <c r="I78" s="235">
        <v>-6046.94</v>
      </c>
      <c r="J78" s="84">
        <v>-11000</v>
      </c>
      <c r="K78" s="165">
        <f t="shared" si="9"/>
        <v>-9542.505000000001</v>
      </c>
      <c r="L78" s="293">
        <f t="shared" si="8"/>
        <v>-10366.182857142856</v>
      </c>
      <c r="M78" s="38"/>
      <c r="N78" s="61" t="s">
        <v>916</v>
      </c>
      <c r="O78" s="221" t="s">
        <v>1105</v>
      </c>
      <c r="P78" s="59" t="s">
        <v>1103</v>
      </c>
      <c r="Q78" s="59" t="s">
        <v>1117</v>
      </c>
    </row>
    <row r="79" spans="1:17">
      <c r="A79" s="79">
        <v>274</v>
      </c>
      <c r="B79" s="79">
        <v>9041</v>
      </c>
      <c r="C79" s="79" t="s">
        <v>444</v>
      </c>
      <c r="D79" s="104">
        <v>-550</v>
      </c>
      <c r="E79" s="104">
        <v>-408.8</v>
      </c>
      <c r="F79" s="104">
        <v>-620</v>
      </c>
      <c r="G79" s="104">
        <v>-77.94</v>
      </c>
      <c r="H79" s="104">
        <f>'OTHER REVENUE'!H28</f>
        <v>-450</v>
      </c>
      <c r="I79" s="235">
        <v>-77.94</v>
      </c>
      <c r="J79" s="84">
        <v>-130</v>
      </c>
      <c r="K79" s="165">
        <f>+E79/8*12</f>
        <v>-613.20000000000005</v>
      </c>
      <c r="L79" s="293">
        <f t="shared" si="8"/>
        <v>-133.61142857142858</v>
      </c>
      <c r="M79" s="70" t="s">
        <v>964</v>
      </c>
      <c r="N79" s="70">
        <f>D18+D56+D60</f>
        <v>15769769.950000001</v>
      </c>
      <c r="O79" s="38">
        <f>F18+F21+F24+F27+F31+F56+F34</f>
        <v>14283143.25226</v>
      </c>
      <c r="P79" s="38">
        <f>H18+H21+H24+H27+H31+H56+H34</f>
        <v>15180587.701064419</v>
      </c>
      <c r="Q79" s="38">
        <f>J18+J21+J24+J27+J31+J37+J56+J34+J60</f>
        <v>25521951.633091487</v>
      </c>
    </row>
    <row r="80" spans="1:17">
      <c r="A80" s="79">
        <v>274</v>
      </c>
      <c r="B80" s="79">
        <v>600302</v>
      </c>
      <c r="C80" s="79" t="s">
        <v>446</v>
      </c>
      <c r="D80" s="104">
        <v>0</v>
      </c>
      <c r="E80" s="104">
        <v>0</v>
      </c>
      <c r="F80" s="104">
        <v>0</v>
      </c>
      <c r="G80" s="104"/>
      <c r="H80" s="104">
        <f>'OTHER REVENUE'!H29</f>
        <v>0</v>
      </c>
      <c r="I80" s="235"/>
      <c r="J80" s="84"/>
      <c r="K80" s="165">
        <f t="shared" si="9"/>
        <v>0</v>
      </c>
      <c r="M80" s="70" t="s">
        <v>965</v>
      </c>
      <c r="N80" s="70">
        <f>D82</f>
        <v>-42646250</v>
      </c>
      <c r="O80" s="38">
        <f>F82</f>
        <v>-83546927.605000004</v>
      </c>
      <c r="P80" s="38">
        <f>H82</f>
        <v>-74246873.605000004</v>
      </c>
      <c r="Q80" s="38">
        <f>J82</f>
        <v>-73609784.135600001</v>
      </c>
    </row>
    <row r="81" spans="1:17">
      <c r="A81" s="90"/>
      <c r="B81" s="90"/>
      <c r="C81" s="360" t="s">
        <v>1151</v>
      </c>
      <c r="D81" s="106"/>
      <c r="E81" s="106"/>
      <c r="F81" s="106"/>
      <c r="G81" s="106"/>
      <c r="H81" s="106"/>
      <c r="I81" s="241"/>
      <c r="J81" s="91">
        <v>-16294010.050000001</v>
      </c>
      <c r="K81" s="165"/>
      <c r="M81" s="70"/>
      <c r="N81" s="70"/>
      <c r="O81" s="38"/>
      <c r="P81" s="38"/>
      <c r="Q81" s="38"/>
    </row>
    <row r="82" spans="1:17" ht="15.75" thickBot="1">
      <c r="D82" s="105">
        <f t="shared" ref="D82:I82" si="10">SUM(D63:D80)</f>
        <v>-42646250</v>
      </c>
      <c r="E82" s="105">
        <f t="shared" si="10"/>
        <v>-104586346.64000002</v>
      </c>
      <c r="F82" s="105">
        <f t="shared" si="10"/>
        <v>-83546927.605000004</v>
      </c>
      <c r="G82" s="105">
        <f t="shared" si="10"/>
        <v>-99270001.000000015</v>
      </c>
      <c r="H82" s="105">
        <f t="shared" si="10"/>
        <v>-74246873.605000004</v>
      </c>
      <c r="I82" s="236">
        <f t="shared" si="10"/>
        <v>-102605763.80999999</v>
      </c>
      <c r="J82" s="74">
        <f>SUM(J63:J81)</f>
        <v>-73609784.135600001</v>
      </c>
      <c r="K82" s="77"/>
      <c r="M82" s="38"/>
      <c r="N82" s="75">
        <f>N79+N80</f>
        <v>-26876480.049999997</v>
      </c>
      <c r="O82" s="75">
        <f>O79+O80</f>
        <v>-69263784.352740005</v>
      </c>
      <c r="P82" s="75">
        <f>P79+P80</f>
        <v>-59066285.903935581</v>
      </c>
      <c r="Q82" s="75">
        <f>Q79+Q80</f>
        <v>-48087832.502508514</v>
      </c>
    </row>
    <row r="83" spans="1:17" ht="15.75" thickTop="1">
      <c r="D83" s="102"/>
      <c r="E83" s="102"/>
      <c r="F83" s="102"/>
      <c r="G83" s="102"/>
      <c r="H83" s="102"/>
      <c r="I83" s="239"/>
    </row>
    <row r="84" spans="1:17" hidden="1">
      <c r="A84" s="35">
        <v>276</v>
      </c>
      <c r="B84" s="35">
        <v>8842</v>
      </c>
      <c r="C84" s="35" t="s">
        <v>490</v>
      </c>
      <c r="D84" s="102">
        <v>0</v>
      </c>
      <c r="E84" s="102">
        <v>12502052.93</v>
      </c>
      <c r="F84" s="102">
        <v>-13627237.689999999</v>
      </c>
      <c r="G84" s="102"/>
      <c r="H84" s="102"/>
      <c r="I84" s="239"/>
      <c r="K84" s="38">
        <f>+E84/8*12*6/100+E84</f>
        <v>13627237.693700001</v>
      </c>
    </row>
    <row r="85" spans="1:17" hidden="1">
      <c r="D85" s="102"/>
      <c r="E85" s="102"/>
      <c r="F85" s="102"/>
      <c r="G85" s="102"/>
      <c r="H85" s="102"/>
      <c r="I85" s="239"/>
    </row>
    <row r="86" spans="1:17" hidden="1">
      <c r="D86" s="159"/>
      <c r="E86" s="159"/>
      <c r="F86" s="102"/>
      <c r="G86" s="102"/>
      <c r="H86" s="102"/>
      <c r="I86" s="239"/>
    </row>
    <row r="87" spans="1:17" hidden="1">
      <c r="D87" s="159"/>
      <c r="E87" s="159"/>
      <c r="F87" s="102"/>
      <c r="G87" s="102"/>
      <c r="H87" s="102"/>
      <c r="I87" s="239"/>
    </row>
    <row r="88" spans="1:17" hidden="1">
      <c r="D88" s="159"/>
      <c r="E88" s="159"/>
      <c r="F88" s="102"/>
      <c r="G88" s="102"/>
      <c r="H88" s="102"/>
      <c r="I88" s="239"/>
      <c r="K88" s="38">
        <f>E78/8*12*6/100+E78</f>
        <v>-6934.2203</v>
      </c>
    </row>
    <row r="89" spans="1:17">
      <c r="D89" s="159"/>
      <c r="E89" s="159"/>
      <c r="F89" s="102"/>
      <c r="G89" s="102"/>
      <c r="H89" s="102"/>
      <c r="I89" s="239"/>
    </row>
    <row r="90" spans="1:17">
      <c r="D90" s="159"/>
      <c r="E90" s="159"/>
      <c r="F90" s="102"/>
      <c r="G90" s="102"/>
      <c r="H90" s="102"/>
      <c r="I90" s="239"/>
    </row>
    <row r="91" spans="1:17">
      <c r="C91" s="78" t="s">
        <v>1112</v>
      </c>
      <c r="D91" s="112"/>
      <c r="E91" s="159"/>
      <c r="F91" s="194"/>
      <c r="G91" s="194"/>
      <c r="H91" s="194"/>
      <c r="I91" s="239"/>
    </row>
    <row r="92" spans="1:17" ht="15.75" thickBot="1">
      <c r="C92" s="38"/>
      <c r="D92" s="102"/>
      <c r="E92" s="159"/>
      <c r="F92" s="102"/>
      <c r="G92" s="102"/>
      <c r="H92" s="102"/>
      <c r="I92" s="239"/>
    </row>
    <row r="93" spans="1:17" ht="15.75" thickBot="1">
      <c r="C93" s="61" t="s">
        <v>916</v>
      </c>
      <c r="D93" s="195" t="s">
        <v>1102</v>
      </c>
      <c r="E93" s="225"/>
      <c r="F93" s="226" t="s">
        <v>1103</v>
      </c>
      <c r="G93" s="102"/>
      <c r="H93" s="226" t="s">
        <v>1117</v>
      </c>
      <c r="I93" s="239"/>
    </row>
    <row r="94" spans="1:17">
      <c r="A94" s="35">
        <v>274</v>
      </c>
      <c r="B94" s="35" t="s">
        <v>994</v>
      </c>
      <c r="C94" s="38">
        <f>N82</f>
        <v>-26876480.049999997</v>
      </c>
      <c r="D94" s="102">
        <f>O82</f>
        <v>-69263784.352740005</v>
      </c>
      <c r="E94" s="159"/>
      <c r="F94" s="102">
        <f>P82</f>
        <v>-59066285.903935581</v>
      </c>
      <c r="G94" s="102"/>
      <c r="H94" s="102">
        <f>Q82</f>
        <v>-48087832.502508514</v>
      </c>
      <c r="I94" s="239"/>
    </row>
    <row r="95" spans="1:17">
      <c r="D95" s="159"/>
      <c r="E95" s="159"/>
      <c r="F95" s="102"/>
      <c r="G95" s="102"/>
      <c r="H95" s="102"/>
      <c r="I95" s="239"/>
    </row>
    <row r="96" spans="1:17">
      <c r="D96" s="159"/>
      <c r="E96" s="159"/>
      <c r="F96" s="102"/>
      <c r="G96" s="102"/>
      <c r="H96" s="102"/>
      <c r="I96" s="239"/>
    </row>
    <row r="97" spans="4:9">
      <c r="D97" s="159"/>
      <c r="E97" s="159"/>
      <c r="F97" s="102"/>
      <c r="G97" s="102"/>
      <c r="H97" s="102"/>
      <c r="I97" s="239"/>
    </row>
    <row r="98" spans="4:9">
      <c r="D98" s="159"/>
      <c r="E98" s="159"/>
      <c r="F98" s="102"/>
      <c r="G98" s="102"/>
      <c r="H98" s="102"/>
      <c r="I98" s="239"/>
    </row>
    <row r="99" spans="4:9">
      <c r="D99" s="159"/>
      <c r="E99" s="159"/>
      <c r="F99" s="102"/>
      <c r="G99" s="102"/>
      <c r="H99" s="102"/>
      <c r="I99" s="239"/>
    </row>
    <row r="100" spans="4:9">
      <c r="D100" s="159"/>
      <c r="E100" s="159"/>
      <c r="F100" s="102"/>
      <c r="G100" s="102"/>
      <c r="H100" s="102"/>
      <c r="I100" s="239"/>
    </row>
    <row r="101" spans="4:9">
      <c r="D101" s="159"/>
      <c r="E101" s="159"/>
      <c r="F101" s="102"/>
      <c r="G101" s="102"/>
      <c r="H101" s="102"/>
      <c r="I101" s="239"/>
    </row>
    <row r="102" spans="4:9">
      <c r="D102" s="159"/>
      <c r="E102" s="159"/>
      <c r="F102" s="102"/>
      <c r="G102" s="102"/>
      <c r="H102" s="102"/>
      <c r="I102" s="239"/>
    </row>
    <row r="103" spans="4:9">
      <c r="D103" s="159"/>
      <c r="E103" s="159"/>
      <c r="F103" s="102"/>
      <c r="G103" s="102"/>
      <c r="H103" s="102"/>
      <c r="I103" s="239"/>
    </row>
    <row r="104" spans="4:9">
      <c r="D104" s="159"/>
      <c r="E104" s="159"/>
      <c r="F104" s="102"/>
      <c r="G104" s="102"/>
      <c r="H104" s="102"/>
      <c r="I104" s="239"/>
    </row>
    <row r="105" spans="4:9">
      <c r="D105" s="159"/>
      <c r="E105" s="159"/>
      <c r="F105" s="102"/>
      <c r="G105" s="102"/>
      <c r="H105" s="102"/>
      <c r="I105" s="239"/>
    </row>
    <row r="106" spans="4:9">
      <c r="D106" s="159"/>
      <c r="E106" s="159"/>
      <c r="F106" s="102"/>
      <c r="G106" s="102"/>
      <c r="H106" s="102"/>
      <c r="I106" s="239"/>
    </row>
    <row r="107" spans="4:9">
      <c r="D107" s="159"/>
      <c r="E107" s="159"/>
      <c r="F107" s="102"/>
      <c r="G107" s="102"/>
      <c r="H107" s="102"/>
      <c r="I107" s="239"/>
    </row>
    <row r="108" spans="4:9">
      <c r="D108" s="159"/>
      <c r="E108" s="159"/>
      <c r="F108" s="102"/>
      <c r="G108" s="102"/>
      <c r="H108" s="102"/>
      <c r="I108" s="239"/>
    </row>
    <row r="109" spans="4:9">
      <c r="D109" s="159"/>
      <c r="E109" s="159"/>
      <c r="F109" s="102"/>
      <c r="G109" s="102"/>
      <c r="H109" s="102"/>
      <c r="I109" s="239"/>
    </row>
    <row r="110" spans="4:9">
      <c r="D110" s="159"/>
      <c r="E110" s="159"/>
      <c r="F110" s="102"/>
      <c r="G110" s="102"/>
      <c r="H110" s="102"/>
      <c r="I110" s="239"/>
    </row>
    <row r="111" spans="4:9">
      <c r="D111" s="159"/>
      <c r="E111" s="159"/>
      <c r="F111" s="102"/>
      <c r="G111" s="102"/>
      <c r="H111" s="102"/>
      <c r="I111" s="239"/>
    </row>
    <row r="112" spans="4:9">
      <c r="D112" s="159"/>
      <c r="E112" s="159"/>
      <c r="F112" s="102"/>
      <c r="G112" s="102"/>
      <c r="H112" s="102"/>
      <c r="I112" s="239"/>
    </row>
    <row r="113" spans="4:9">
      <c r="D113" s="159"/>
      <c r="E113" s="159"/>
      <c r="F113" s="102"/>
      <c r="G113" s="102"/>
      <c r="H113" s="102"/>
      <c r="I113" s="239"/>
    </row>
    <row r="114" spans="4:9">
      <c r="D114" s="159"/>
      <c r="E114" s="159"/>
      <c r="F114" s="102"/>
      <c r="G114" s="102"/>
      <c r="H114" s="102"/>
      <c r="I114" s="239"/>
    </row>
    <row r="115" spans="4:9">
      <c r="D115" s="159"/>
      <c r="E115" s="159"/>
      <c r="F115" s="102"/>
      <c r="G115" s="102"/>
      <c r="H115" s="102"/>
      <c r="I115" s="239"/>
    </row>
    <row r="116" spans="4:9">
      <c r="D116" s="159"/>
      <c r="E116" s="159"/>
      <c r="F116" s="102"/>
      <c r="G116" s="102"/>
      <c r="H116" s="102"/>
      <c r="I116" s="239"/>
    </row>
    <row r="117" spans="4:9">
      <c r="D117" s="159"/>
      <c r="E117" s="159"/>
      <c r="F117" s="102"/>
      <c r="G117" s="102"/>
      <c r="H117" s="102"/>
      <c r="I117" s="239"/>
    </row>
    <row r="118" spans="4:9">
      <c r="D118" s="159"/>
      <c r="E118" s="159"/>
      <c r="F118" s="102"/>
      <c r="G118" s="102"/>
      <c r="H118" s="102"/>
      <c r="I118" s="239"/>
    </row>
    <row r="119" spans="4:9">
      <c r="D119" s="159"/>
      <c r="E119" s="159"/>
      <c r="F119" s="102"/>
      <c r="G119" s="102"/>
      <c r="H119" s="102"/>
      <c r="I119" s="239"/>
    </row>
    <row r="120" spans="4:9">
      <c r="D120" s="159"/>
      <c r="E120" s="159"/>
      <c r="F120" s="102"/>
      <c r="G120" s="102"/>
      <c r="H120" s="102"/>
      <c r="I120" s="239"/>
    </row>
    <row r="121" spans="4:9">
      <c r="D121" s="159"/>
      <c r="E121" s="159"/>
      <c r="F121" s="102"/>
      <c r="G121" s="102"/>
      <c r="H121" s="102"/>
      <c r="I121" s="239"/>
    </row>
    <row r="122" spans="4:9">
      <c r="D122" s="159"/>
      <c r="E122" s="159"/>
      <c r="F122" s="102"/>
      <c r="G122" s="102"/>
      <c r="H122" s="102"/>
      <c r="I122" s="239"/>
    </row>
    <row r="123" spans="4:9">
      <c r="D123" s="159"/>
      <c r="E123" s="159"/>
      <c r="F123" s="102"/>
      <c r="G123" s="102"/>
      <c r="H123" s="102"/>
      <c r="I123" s="239"/>
    </row>
    <row r="124" spans="4:9">
      <c r="D124" s="159"/>
      <c r="E124" s="159"/>
      <c r="F124" s="102"/>
      <c r="G124" s="102"/>
      <c r="H124" s="102"/>
      <c r="I124" s="239"/>
    </row>
    <row r="125" spans="4:9">
      <c r="D125" s="159"/>
      <c r="E125" s="159"/>
      <c r="F125" s="102"/>
      <c r="G125" s="102"/>
      <c r="H125" s="102"/>
      <c r="I125" s="239"/>
    </row>
    <row r="126" spans="4:9">
      <c r="D126" s="159"/>
      <c r="E126" s="159"/>
      <c r="F126" s="102"/>
      <c r="G126" s="102"/>
      <c r="H126" s="102"/>
      <c r="I126" s="239"/>
    </row>
    <row r="127" spans="4:9">
      <c r="D127" s="159"/>
      <c r="E127" s="159"/>
      <c r="F127" s="102"/>
      <c r="G127" s="102"/>
      <c r="H127" s="102"/>
      <c r="I127" s="239"/>
    </row>
    <row r="128" spans="4:9">
      <c r="D128" s="159"/>
      <c r="E128" s="159"/>
      <c r="F128" s="102"/>
      <c r="G128" s="102"/>
      <c r="H128" s="102"/>
      <c r="I128" s="239"/>
    </row>
    <row r="129" spans="4:9">
      <c r="D129" s="159"/>
      <c r="E129" s="159"/>
      <c r="F129" s="102"/>
      <c r="G129" s="102"/>
      <c r="H129" s="102"/>
      <c r="I129" s="239"/>
    </row>
    <row r="130" spans="4:9">
      <c r="D130" s="159"/>
      <c r="E130" s="159"/>
      <c r="F130" s="102"/>
      <c r="G130" s="102"/>
      <c r="H130" s="102"/>
      <c r="I130" s="239"/>
    </row>
    <row r="131" spans="4:9">
      <c r="D131" s="159"/>
      <c r="E131" s="159"/>
      <c r="F131" s="102"/>
      <c r="G131" s="102"/>
      <c r="H131" s="102"/>
      <c r="I131" s="239"/>
    </row>
    <row r="132" spans="4:9">
      <c r="D132" s="159"/>
      <c r="E132" s="159"/>
      <c r="F132" s="102"/>
      <c r="G132" s="102"/>
      <c r="H132" s="102"/>
      <c r="I132" s="239"/>
    </row>
    <row r="133" spans="4:9">
      <c r="D133" s="159"/>
      <c r="E133" s="159"/>
      <c r="F133" s="102"/>
      <c r="G133" s="102"/>
      <c r="H133" s="102"/>
      <c r="I133" s="239"/>
    </row>
    <row r="134" spans="4:9">
      <c r="D134" s="159"/>
      <c r="E134" s="159"/>
      <c r="F134" s="102"/>
      <c r="G134" s="102"/>
      <c r="H134" s="102"/>
    </row>
    <row r="135" spans="4:9">
      <c r="D135" s="159"/>
      <c r="E135" s="159"/>
      <c r="F135" s="102"/>
      <c r="G135" s="102"/>
      <c r="H135" s="102"/>
    </row>
    <row r="136" spans="4:9">
      <c r="D136" s="159"/>
      <c r="E136" s="159"/>
      <c r="F136" s="102"/>
      <c r="G136" s="102"/>
      <c r="H136" s="102"/>
    </row>
    <row r="137" spans="4:9">
      <c r="D137" s="159"/>
      <c r="E137" s="159"/>
      <c r="F137" s="102"/>
      <c r="G137" s="102"/>
      <c r="H137" s="102"/>
    </row>
    <row r="138" spans="4:9">
      <c r="D138" s="159"/>
      <c r="E138" s="159"/>
      <c r="F138" s="102"/>
      <c r="G138" s="102"/>
      <c r="H138" s="102"/>
    </row>
    <row r="139" spans="4:9">
      <c r="D139" s="159"/>
      <c r="E139" s="159"/>
      <c r="F139" s="102"/>
      <c r="G139" s="102"/>
      <c r="H139" s="102"/>
    </row>
    <row r="140" spans="4:9">
      <c r="D140" s="159"/>
      <c r="E140" s="159"/>
      <c r="F140" s="102"/>
      <c r="G140" s="102"/>
      <c r="H140" s="102"/>
    </row>
    <row r="141" spans="4:9">
      <c r="D141" s="159"/>
      <c r="E141" s="159"/>
      <c r="F141" s="102"/>
      <c r="G141" s="102"/>
      <c r="H141" s="102"/>
    </row>
    <row r="142" spans="4:9">
      <c r="D142" s="159"/>
      <c r="E142" s="159"/>
      <c r="F142" s="102"/>
      <c r="G142" s="102"/>
      <c r="H142" s="102"/>
    </row>
    <row r="143" spans="4:9">
      <c r="D143" s="159"/>
      <c r="E143" s="159"/>
      <c r="F143" s="102"/>
      <c r="G143" s="102"/>
      <c r="H143" s="102"/>
    </row>
    <row r="144" spans="4:9">
      <c r="D144" s="159"/>
      <c r="E144" s="159"/>
      <c r="F144" s="102"/>
      <c r="G144" s="102"/>
      <c r="H144" s="102"/>
    </row>
    <row r="145" spans="4:8">
      <c r="D145" s="159"/>
      <c r="E145" s="159"/>
      <c r="F145" s="102"/>
      <c r="G145" s="102"/>
      <c r="H145" s="102"/>
    </row>
    <row r="146" spans="4:8">
      <c r="D146" s="159"/>
      <c r="E146" s="159"/>
      <c r="F146" s="102"/>
      <c r="G146" s="102"/>
      <c r="H146" s="102"/>
    </row>
    <row r="147" spans="4:8">
      <c r="D147" s="159"/>
      <c r="E147" s="159"/>
      <c r="F147" s="102"/>
      <c r="G147" s="102"/>
      <c r="H147" s="102"/>
    </row>
    <row r="148" spans="4:8">
      <c r="D148" s="159"/>
      <c r="E148" s="159"/>
      <c r="F148" s="102"/>
      <c r="G148" s="102"/>
      <c r="H148" s="102"/>
    </row>
    <row r="149" spans="4:8">
      <c r="D149" s="159"/>
      <c r="E149" s="159"/>
      <c r="F149" s="102"/>
      <c r="G149" s="102"/>
      <c r="H149" s="102"/>
    </row>
    <row r="150" spans="4:8">
      <c r="D150" s="159"/>
      <c r="E150" s="159"/>
      <c r="F150" s="102"/>
      <c r="G150" s="102"/>
      <c r="H150" s="102"/>
    </row>
    <row r="151" spans="4:8">
      <c r="D151" s="159"/>
      <c r="E151" s="159"/>
      <c r="F151" s="102"/>
      <c r="G151" s="102"/>
      <c r="H151" s="102"/>
    </row>
    <row r="152" spans="4:8">
      <c r="D152" s="159"/>
      <c r="E152" s="159"/>
      <c r="F152" s="102"/>
      <c r="G152" s="102"/>
      <c r="H152" s="102"/>
    </row>
    <row r="153" spans="4:8">
      <c r="D153" s="159"/>
      <c r="E153" s="159"/>
      <c r="F153" s="102"/>
      <c r="G153" s="102"/>
      <c r="H153" s="102"/>
    </row>
    <row r="154" spans="4:8">
      <c r="D154" s="159"/>
      <c r="E154" s="159"/>
      <c r="F154" s="102"/>
      <c r="G154" s="102"/>
      <c r="H154" s="102"/>
    </row>
    <row r="155" spans="4:8">
      <c r="D155" s="159"/>
      <c r="E155" s="159"/>
      <c r="F155" s="102"/>
      <c r="G155" s="102"/>
      <c r="H155" s="102"/>
    </row>
    <row r="156" spans="4:8">
      <c r="D156" s="159"/>
      <c r="E156" s="159"/>
      <c r="F156" s="102"/>
      <c r="G156" s="102"/>
      <c r="H156" s="102"/>
    </row>
    <row r="157" spans="4:8">
      <c r="D157" s="159"/>
      <c r="E157" s="159"/>
      <c r="F157" s="102"/>
      <c r="G157" s="102"/>
      <c r="H157" s="102"/>
    </row>
    <row r="158" spans="4:8">
      <c r="D158" s="159"/>
      <c r="E158" s="159"/>
      <c r="F158" s="102"/>
      <c r="G158" s="102"/>
      <c r="H158" s="102"/>
    </row>
    <row r="159" spans="4:8">
      <c r="D159" s="159"/>
      <c r="E159" s="159"/>
      <c r="F159" s="102"/>
      <c r="G159" s="102"/>
      <c r="H159" s="102"/>
    </row>
    <row r="160" spans="4:8">
      <c r="D160" s="159"/>
      <c r="E160" s="159"/>
      <c r="F160" s="102"/>
      <c r="G160" s="102"/>
      <c r="H160" s="102"/>
    </row>
    <row r="161" spans="4:8">
      <c r="D161" s="159"/>
      <c r="E161" s="159"/>
      <c r="F161" s="102"/>
      <c r="G161" s="102"/>
      <c r="H161" s="102"/>
    </row>
    <row r="162" spans="4:8">
      <c r="D162" s="159"/>
      <c r="E162" s="159"/>
      <c r="F162" s="102"/>
      <c r="G162" s="102"/>
      <c r="H162" s="102"/>
    </row>
    <row r="163" spans="4:8">
      <c r="D163" s="159"/>
      <c r="E163" s="159"/>
      <c r="F163" s="102"/>
      <c r="G163" s="102"/>
      <c r="H163" s="102"/>
    </row>
    <row r="164" spans="4:8">
      <c r="D164" s="159"/>
      <c r="E164" s="159"/>
      <c r="F164" s="102"/>
      <c r="G164" s="102"/>
      <c r="H164" s="102"/>
    </row>
    <row r="165" spans="4:8">
      <c r="D165" s="159"/>
      <c r="E165" s="159"/>
      <c r="F165" s="102"/>
      <c r="G165" s="102"/>
      <c r="H165" s="102"/>
    </row>
    <row r="166" spans="4:8">
      <c r="D166" s="159"/>
      <c r="E166" s="159"/>
      <c r="F166" s="102"/>
      <c r="G166" s="102"/>
      <c r="H166" s="102"/>
    </row>
    <row r="167" spans="4:8">
      <c r="D167" s="159"/>
      <c r="E167" s="159"/>
      <c r="F167" s="102"/>
      <c r="G167" s="102"/>
      <c r="H167" s="102"/>
    </row>
    <row r="168" spans="4:8">
      <c r="D168" s="159"/>
      <c r="E168" s="159"/>
      <c r="F168" s="102"/>
      <c r="G168" s="102"/>
      <c r="H168" s="102"/>
    </row>
    <row r="169" spans="4:8">
      <c r="D169" s="159"/>
      <c r="E169" s="159"/>
      <c r="F169" s="102"/>
      <c r="G169" s="102"/>
      <c r="H169" s="102"/>
    </row>
    <row r="170" spans="4:8">
      <c r="D170" s="159"/>
      <c r="E170" s="159"/>
      <c r="F170" s="102"/>
      <c r="G170" s="102"/>
      <c r="H170" s="102"/>
    </row>
    <row r="171" spans="4:8">
      <c r="D171" s="159"/>
      <c r="E171" s="159"/>
      <c r="F171" s="102"/>
      <c r="G171" s="102"/>
      <c r="H171" s="102"/>
    </row>
    <row r="172" spans="4:8">
      <c r="D172" s="159"/>
      <c r="E172" s="159"/>
      <c r="F172" s="102"/>
      <c r="G172" s="102"/>
      <c r="H172" s="102"/>
    </row>
    <row r="173" spans="4:8">
      <c r="D173" s="159"/>
      <c r="E173" s="159"/>
      <c r="F173" s="102"/>
      <c r="G173" s="102"/>
      <c r="H173" s="102"/>
    </row>
    <row r="174" spans="4:8">
      <c r="D174" s="159"/>
      <c r="E174" s="159"/>
      <c r="F174" s="102"/>
      <c r="G174" s="102"/>
      <c r="H174" s="102"/>
    </row>
    <row r="175" spans="4:8">
      <c r="D175" s="159"/>
      <c r="E175" s="159"/>
      <c r="F175" s="102"/>
      <c r="G175" s="102"/>
      <c r="H175" s="102"/>
    </row>
    <row r="176" spans="4:8">
      <c r="D176" s="159"/>
      <c r="E176" s="159"/>
      <c r="F176" s="102"/>
      <c r="G176" s="102"/>
      <c r="H176" s="102"/>
    </row>
    <row r="177" spans="4:8">
      <c r="D177" s="159"/>
      <c r="E177" s="159"/>
      <c r="F177" s="102"/>
      <c r="G177" s="102"/>
      <c r="H177" s="102"/>
    </row>
    <row r="178" spans="4:8">
      <c r="D178" s="159"/>
      <c r="E178" s="159"/>
      <c r="F178" s="102"/>
      <c r="G178" s="102"/>
      <c r="H178" s="102"/>
    </row>
    <row r="179" spans="4:8">
      <c r="D179" s="159"/>
      <c r="E179" s="159"/>
      <c r="F179" s="102"/>
      <c r="G179" s="102"/>
      <c r="H179" s="102"/>
    </row>
    <row r="180" spans="4:8">
      <c r="D180" s="159"/>
      <c r="E180" s="159"/>
      <c r="F180" s="102"/>
      <c r="G180" s="102"/>
      <c r="H180" s="102"/>
    </row>
    <row r="181" spans="4:8">
      <c r="D181" s="159"/>
      <c r="E181" s="159"/>
      <c r="F181" s="102"/>
      <c r="G181" s="102"/>
      <c r="H181" s="102"/>
    </row>
    <row r="182" spans="4:8">
      <c r="D182" s="159"/>
      <c r="E182" s="159"/>
      <c r="F182" s="102"/>
      <c r="G182" s="102"/>
      <c r="H182" s="102"/>
    </row>
    <row r="183" spans="4:8">
      <c r="D183" s="159"/>
      <c r="E183" s="159"/>
      <c r="F183" s="102"/>
      <c r="G183" s="102"/>
      <c r="H183" s="102"/>
    </row>
    <row r="184" spans="4:8">
      <c r="D184" s="159"/>
      <c r="E184" s="159"/>
      <c r="F184" s="102"/>
      <c r="G184" s="102"/>
      <c r="H184" s="102"/>
    </row>
    <row r="185" spans="4:8">
      <c r="D185" s="159"/>
      <c r="E185" s="159"/>
      <c r="F185" s="102"/>
      <c r="G185" s="102"/>
      <c r="H185" s="102"/>
    </row>
    <row r="186" spans="4:8">
      <c r="D186" s="159"/>
      <c r="E186" s="159"/>
      <c r="F186" s="102"/>
      <c r="G186" s="102"/>
      <c r="H186" s="102"/>
    </row>
    <row r="187" spans="4:8">
      <c r="D187" s="159"/>
      <c r="E187" s="159"/>
      <c r="F187" s="102"/>
      <c r="G187" s="102"/>
      <c r="H187" s="102"/>
    </row>
    <row r="188" spans="4:8">
      <c r="D188" s="159"/>
      <c r="E188" s="159"/>
      <c r="F188" s="102"/>
      <c r="G188" s="102"/>
      <c r="H188" s="102"/>
    </row>
    <row r="189" spans="4:8">
      <c r="D189" s="159"/>
      <c r="E189" s="159"/>
      <c r="F189" s="102"/>
      <c r="G189" s="102"/>
      <c r="H189" s="102"/>
    </row>
    <row r="190" spans="4:8">
      <c r="D190" s="159"/>
      <c r="E190" s="159"/>
      <c r="F190" s="102"/>
      <c r="G190" s="102"/>
      <c r="H190" s="102"/>
    </row>
    <row r="191" spans="4:8">
      <c r="D191" s="159"/>
      <c r="E191" s="159"/>
      <c r="F191" s="102"/>
      <c r="G191" s="102"/>
      <c r="H191" s="102"/>
    </row>
    <row r="192" spans="4:8">
      <c r="D192" s="159"/>
      <c r="E192" s="159"/>
      <c r="F192" s="102"/>
      <c r="G192" s="102"/>
      <c r="H192" s="102"/>
    </row>
    <row r="193" spans="4:8">
      <c r="D193" s="159"/>
      <c r="E193" s="159"/>
      <c r="F193" s="102"/>
      <c r="G193" s="102"/>
      <c r="H193" s="102"/>
    </row>
    <row r="194" spans="4:8">
      <c r="D194" s="159"/>
      <c r="E194" s="159"/>
      <c r="F194" s="102"/>
      <c r="G194" s="102"/>
      <c r="H194" s="102"/>
    </row>
    <row r="195" spans="4:8">
      <c r="D195" s="159"/>
      <c r="E195" s="159"/>
      <c r="F195" s="102"/>
      <c r="G195" s="102"/>
      <c r="H195" s="102"/>
    </row>
    <row r="196" spans="4:8">
      <c r="D196" s="159"/>
      <c r="E196" s="159"/>
      <c r="F196" s="102"/>
      <c r="G196" s="102"/>
      <c r="H196" s="102"/>
    </row>
    <row r="197" spans="4:8">
      <c r="D197" s="159"/>
      <c r="E197" s="159"/>
      <c r="F197" s="102"/>
      <c r="G197" s="102"/>
      <c r="H197" s="102"/>
    </row>
    <row r="198" spans="4:8">
      <c r="D198" s="159"/>
      <c r="E198" s="159"/>
      <c r="F198" s="102"/>
      <c r="G198" s="102"/>
      <c r="H198" s="102"/>
    </row>
    <row r="199" spans="4:8">
      <c r="D199" s="159"/>
      <c r="E199" s="159"/>
      <c r="F199" s="102"/>
      <c r="G199" s="102"/>
      <c r="H199" s="102"/>
    </row>
    <row r="200" spans="4:8">
      <c r="D200" s="159"/>
      <c r="E200" s="159"/>
      <c r="F200" s="102"/>
      <c r="G200" s="102"/>
      <c r="H200" s="102"/>
    </row>
    <row r="201" spans="4:8">
      <c r="D201" s="159"/>
      <c r="E201" s="159"/>
      <c r="F201" s="102"/>
      <c r="G201" s="102"/>
      <c r="H201" s="102"/>
    </row>
    <row r="202" spans="4:8">
      <c r="D202" s="159"/>
      <c r="E202" s="159"/>
      <c r="F202" s="102"/>
      <c r="G202" s="102"/>
      <c r="H202" s="102"/>
    </row>
    <row r="203" spans="4:8">
      <c r="D203" s="159"/>
      <c r="E203" s="159"/>
      <c r="F203" s="102"/>
      <c r="G203" s="102"/>
      <c r="H203" s="102"/>
    </row>
    <row r="204" spans="4:8">
      <c r="D204" s="159"/>
      <c r="E204" s="159"/>
      <c r="F204" s="102"/>
      <c r="G204" s="102"/>
      <c r="H204" s="102"/>
    </row>
    <row r="205" spans="4:8">
      <c r="D205" s="159"/>
      <c r="E205" s="159"/>
      <c r="F205" s="102"/>
      <c r="G205" s="102"/>
      <c r="H205" s="102"/>
    </row>
    <row r="206" spans="4:8">
      <c r="D206" s="159"/>
      <c r="E206" s="159"/>
      <c r="F206" s="102"/>
      <c r="G206" s="102"/>
      <c r="H206" s="102"/>
    </row>
    <row r="207" spans="4:8">
      <c r="D207" s="159"/>
      <c r="E207" s="159"/>
      <c r="F207" s="102"/>
      <c r="G207" s="102"/>
      <c r="H207" s="102"/>
    </row>
    <row r="208" spans="4:8">
      <c r="D208" s="159"/>
      <c r="E208" s="159"/>
      <c r="F208" s="102"/>
      <c r="G208" s="102"/>
      <c r="H208" s="102"/>
    </row>
    <row r="209" spans="4:8">
      <c r="D209" s="159"/>
      <c r="E209" s="159"/>
      <c r="F209" s="102"/>
      <c r="G209" s="102"/>
      <c r="H209" s="102"/>
    </row>
    <row r="210" spans="4:8">
      <c r="D210" s="159"/>
      <c r="E210" s="159"/>
      <c r="F210" s="102"/>
      <c r="G210" s="102"/>
      <c r="H210" s="102"/>
    </row>
    <row r="211" spans="4:8">
      <c r="D211" s="159"/>
      <c r="E211" s="159"/>
      <c r="F211" s="102"/>
      <c r="G211" s="102"/>
      <c r="H211" s="102"/>
    </row>
    <row r="212" spans="4:8">
      <c r="D212" s="159"/>
      <c r="E212" s="159"/>
      <c r="F212" s="102"/>
      <c r="G212" s="102"/>
      <c r="H212" s="102"/>
    </row>
    <row r="213" spans="4:8">
      <c r="D213" s="159"/>
      <c r="E213" s="159"/>
      <c r="F213" s="102"/>
      <c r="G213" s="102"/>
      <c r="H213" s="102"/>
    </row>
    <row r="214" spans="4:8">
      <c r="D214" s="159"/>
      <c r="E214" s="159"/>
      <c r="F214" s="102"/>
      <c r="G214" s="102"/>
      <c r="H214" s="102"/>
    </row>
    <row r="215" spans="4:8">
      <c r="D215" s="159"/>
      <c r="E215" s="159"/>
      <c r="F215" s="102"/>
      <c r="G215" s="102"/>
      <c r="H215" s="102"/>
    </row>
    <row r="216" spans="4:8">
      <c r="D216" s="159"/>
      <c r="E216" s="159"/>
      <c r="F216" s="102"/>
      <c r="G216" s="102"/>
      <c r="H216" s="102"/>
    </row>
    <row r="217" spans="4:8">
      <c r="D217" s="159"/>
      <c r="E217" s="159"/>
      <c r="F217" s="102"/>
      <c r="G217" s="102"/>
      <c r="H217" s="102"/>
    </row>
    <row r="218" spans="4:8">
      <c r="D218" s="159"/>
      <c r="E218" s="159"/>
      <c r="F218" s="102"/>
      <c r="G218" s="102"/>
      <c r="H218" s="102"/>
    </row>
    <row r="219" spans="4:8">
      <c r="D219" s="159"/>
      <c r="E219" s="159"/>
      <c r="F219" s="102"/>
      <c r="G219" s="102"/>
      <c r="H219" s="102"/>
    </row>
    <row r="220" spans="4:8">
      <c r="D220" s="159"/>
      <c r="E220" s="159"/>
      <c r="F220" s="102"/>
      <c r="G220" s="102"/>
      <c r="H220" s="102"/>
    </row>
    <row r="221" spans="4:8">
      <c r="D221" s="159"/>
      <c r="E221" s="159"/>
      <c r="F221" s="102"/>
      <c r="G221" s="102"/>
      <c r="H221" s="102"/>
    </row>
    <row r="222" spans="4:8">
      <c r="D222" s="159"/>
      <c r="E222" s="159"/>
      <c r="F222" s="102"/>
      <c r="G222" s="102"/>
      <c r="H222" s="102"/>
    </row>
    <row r="223" spans="4:8">
      <c r="D223" s="159"/>
      <c r="E223" s="159"/>
      <c r="F223" s="102"/>
      <c r="G223" s="102"/>
      <c r="H223" s="102"/>
    </row>
    <row r="224" spans="4:8">
      <c r="D224" s="159"/>
      <c r="E224" s="159"/>
      <c r="F224" s="102"/>
      <c r="G224" s="102"/>
      <c r="H224" s="102"/>
    </row>
    <row r="225" spans="4:8">
      <c r="D225" s="159"/>
      <c r="E225" s="159"/>
      <c r="F225" s="102"/>
      <c r="G225" s="102"/>
      <c r="H225" s="102"/>
    </row>
    <row r="226" spans="4:8">
      <c r="D226" s="159"/>
      <c r="E226" s="159"/>
      <c r="F226" s="102"/>
      <c r="G226" s="102"/>
      <c r="H226" s="102"/>
    </row>
    <row r="227" spans="4:8">
      <c r="D227" s="159"/>
      <c r="E227" s="159"/>
      <c r="F227" s="102"/>
      <c r="G227" s="102"/>
      <c r="H227" s="102"/>
    </row>
    <row r="228" spans="4:8">
      <c r="D228" s="159"/>
      <c r="E228" s="159"/>
      <c r="F228" s="102"/>
      <c r="G228" s="102"/>
      <c r="H228" s="102"/>
    </row>
    <row r="229" spans="4:8">
      <c r="D229" s="159"/>
      <c r="E229" s="159"/>
      <c r="F229" s="102"/>
      <c r="G229" s="102"/>
      <c r="H229" s="102"/>
    </row>
    <row r="230" spans="4:8">
      <c r="D230" s="159"/>
      <c r="E230" s="159"/>
      <c r="F230" s="102"/>
      <c r="G230" s="102"/>
      <c r="H230" s="102"/>
    </row>
    <row r="231" spans="4:8">
      <c r="D231" s="159"/>
      <c r="E231" s="159"/>
      <c r="F231" s="102"/>
      <c r="G231" s="102"/>
      <c r="H231" s="102"/>
    </row>
    <row r="232" spans="4:8">
      <c r="D232" s="159"/>
      <c r="E232" s="159"/>
      <c r="F232" s="102"/>
      <c r="G232" s="102"/>
      <c r="H232" s="102"/>
    </row>
    <row r="233" spans="4:8">
      <c r="D233" s="159"/>
      <c r="E233" s="159"/>
      <c r="F233" s="102"/>
      <c r="G233" s="102"/>
      <c r="H233" s="102"/>
    </row>
    <row r="234" spans="4:8">
      <c r="D234" s="159"/>
      <c r="E234" s="159"/>
      <c r="F234" s="102"/>
      <c r="G234" s="102"/>
      <c r="H234" s="102"/>
    </row>
    <row r="235" spans="4:8">
      <c r="D235" s="159"/>
      <c r="E235" s="159"/>
      <c r="F235" s="102"/>
      <c r="G235" s="102"/>
      <c r="H235" s="102"/>
    </row>
    <row r="236" spans="4:8">
      <c r="D236" s="159"/>
      <c r="E236" s="159"/>
      <c r="F236" s="102"/>
      <c r="G236" s="102"/>
      <c r="H236" s="102"/>
    </row>
    <row r="237" spans="4:8">
      <c r="D237" s="159"/>
      <c r="E237" s="159"/>
      <c r="F237" s="102"/>
      <c r="G237" s="102"/>
      <c r="H237" s="102"/>
    </row>
    <row r="238" spans="4:8">
      <c r="D238" s="159"/>
      <c r="E238" s="159"/>
      <c r="F238" s="102"/>
      <c r="G238" s="102"/>
      <c r="H238" s="102"/>
    </row>
    <row r="239" spans="4:8">
      <c r="D239" s="159"/>
      <c r="E239" s="159"/>
      <c r="F239" s="102"/>
      <c r="G239" s="102"/>
      <c r="H239" s="102"/>
    </row>
    <row r="240" spans="4:8">
      <c r="D240" s="159"/>
      <c r="E240" s="159"/>
      <c r="F240" s="102"/>
      <c r="G240" s="102"/>
      <c r="H240" s="102"/>
    </row>
    <row r="241" spans="4:8">
      <c r="D241" s="159"/>
      <c r="E241" s="159"/>
      <c r="F241" s="102"/>
      <c r="G241" s="102"/>
      <c r="H241" s="102"/>
    </row>
    <row r="242" spans="4:8">
      <c r="D242" s="159"/>
      <c r="E242" s="159"/>
      <c r="F242" s="102"/>
      <c r="G242" s="102"/>
      <c r="H242" s="102"/>
    </row>
    <row r="243" spans="4:8">
      <c r="D243" s="159"/>
      <c r="E243" s="159"/>
      <c r="F243" s="102"/>
      <c r="G243" s="102"/>
      <c r="H243" s="102"/>
    </row>
    <row r="244" spans="4:8">
      <c r="D244" s="159"/>
      <c r="E244" s="159"/>
      <c r="F244" s="102"/>
      <c r="G244" s="102"/>
      <c r="H244" s="102"/>
    </row>
    <row r="245" spans="4:8">
      <c r="D245" s="159"/>
      <c r="E245" s="159"/>
      <c r="F245" s="102"/>
      <c r="G245" s="102"/>
      <c r="H245" s="102"/>
    </row>
    <row r="246" spans="4:8">
      <c r="D246" s="159"/>
      <c r="E246" s="159"/>
      <c r="F246" s="102"/>
      <c r="G246" s="102"/>
      <c r="H246" s="102"/>
    </row>
    <row r="247" spans="4:8">
      <c r="D247" s="159"/>
      <c r="E247" s="159"/>
      <c r="F247" s="102"/>
      <c r="G247" s="102"/>
      <c r="H247" s="102"/>
    </row>
    <row r="248" spans="4:8">
      <c r="D248" s="159"/>
      <c r="E248" s="159"/>
      <c r="F248" s="102"/>
      <c r="G248" s="102"/>
      <c r="H248" s="102"/>
    </row>
    <row r="249" spans="4:8">
      <c r="D249" s="159"/>
      <c r="E249" s="159"/>
      <c r="F249" s="102"/>
      <c r="G249" s="102"/>
      <c r="H249" s="102"/>
    </row>
    <row r="250" spans="4:8">
      <c r="D250" s="159"/>
      <c r="E250" s="159"/>
      <c r="F250" s="102"/>
      <c r="G250" s="102"/>
      <c r="H250" s="102"/>
    </row>
    <row r="251" spans="4:8">
      <c r="D251" s="159"/>
      <c r="E251" s="159"/>
      <c r="F251" s="102"/>
      <c r="G251" s="102"/>
      <c r="H251" s="102"/>
    </row>
    <row r="252" spans="4:8">
      <c r="D252" s="159"/>
      <c r="E252" s="159"/>
      <c r="F252" s="102"/>
      <c r="G252" s="102"/>
      <c r="H252" s="102"/>
    </row>
    <row r="253" spans="4:8">
      <c r="D253" s="159"/>
      <c r="E253" s="159"/>
      <c r="F253" s="102"/>
      <c r="G253" s="102"/>
      <c r="H253" s="102"/>
    </row>
    <row r="254" spans="4:8">
      <c r="D254" s="159"/>
      <c r="E254" s="159"/>
      <c r="F254" s="102"/>
      <c r="G254" s="102"/>
      <c r="H254" s="102"/>
    </row>
    <row r="255" spans="4:8">
      <c r="D255" s="159"/>
      <c r="E255" s="159"/>
      <c r="F255" s="102"/>
      <c r="G255" s="102"/>
      <c r="H255" s="102"/>
    </row>
    <row r="256" spans="4:8">
      <c r="D256" s="159"/>
      <c r="E256" s="159"/>
      <c r="F256" s="102"/>
      <c r="G256" s="102"/>
      <c r="H256" s="102"/>
    </row>
    <row r="257" spans="4:8">
      <c r="D257" s="159"/>
      <c r="E257" s="159"/>
      <c r="F257" s="102"/>
      <c r="G257" s="102"/>
      <c r="H257" s="102"/>
    </row>
    <row r="258" spans="4:8">
      <c r="D258" s="159"/>
      <c r="E258" s="159"/>
      <c r="F258" s="102"/>
      <c r="G258" s="102"/>
      <c r="H258" s="102"/>
    </row>
    <row r="259" spans="4:8">
      <c r="D259" s="159"/>
      <c r="E259" s="159"/>
      <c r="F259" s="102"/>
      <c r="G259" s="102"/>
      <c r="H259" s="102"/>
    </row>
    <row r="260" spans="4:8">
      <c r="D260" s="159"/>
      <c r="E260" s="159"/>
      <c r="F260" s="102"/>
      <c r="G260" s="102"/>
      <c r="H260" s="102"/>
    </row>
    <row r="261" spans="4:8">
      <c r="D261" s="159"/>
      <c r="E261" s="159"/>
      <c r="F261" s="102"/>
      <c r="G261" s="102"/>
      <c r="H261" s="102"/>
    </row>
    <row r="262" spans="4:8">
      <c r="D262" s="159"/>
      <c r="E262" s="159"/>
      <c r="F262" s="102"/>
      <c r="G262" s="102"/>
      <c r="H262" s="102"/>
    </row>
    <row r="263" spans="4:8">
      <c r="D263" s="159"/>
      <c r="E263" s="159"/>
      <c r="F263" s="102"/>
      <c r="G263" s="102"/>
      <c r="H263" s="102"/>
    </row>
    <row r="264" spans="4:8">
      <c r="D264" s="159"/>
      <c r="E264" s="159"/>
      <c r="F264" s="102"/>
      <c r="G264" s="102"/>
      <c r="H264" s="102"/>
    </row>
    <row r="265" spans="4:8">
      <c r="D265" s="159"/>
      <c r="E265" s="159"/>
      <c r="F265" s="102"/>
      <c r="G265" s="102"/>
      <c r="H265" s="102"/>
    </row>
    <row r="266" spans="4:8">
      <c r="D266" s="159"/>
      <c r="E266" s="159"/>
      <c r="F266" s="102"/>
      <c r="G266" s="102"/>
      <c r="H266" s="102"/>
    </row>
    <row r="267" spans="4:8">
      <c r="D267" s="159"/>
      <c r="E267" s="159"/>
      <c r="F267" s="102"/>
      <c r="G267" s="102"/>
      <c r="H267" s="102"/>
    </row>
    <row r="268" spans="4:8">
      <c r="D268" s="159"/>
      <c r="E268" s="159"/>
      <c r="F268" s="102"/>
      <c r="G268" s="102"/>
      <c r="H268" s="102"/>
    </row>
    <row r="269" spans="4:8">
      <c r="D269" s="159"/>
      <c r="E269" s="159"/>
      <c r="F269" s="102"/>
      <c r="G269" s="102"/>
      <c r="H269" s="102"/>
    </row>
    <row r="270" spans="4:8">
      <c r="D270" s="159"/>
      <c r="E270" s="159"/>
      <c r="F270" s="102"/>
      <c r="G270" s="102"/>
      <c r="H270" s="102"/>
    </row>
    <row r="271" spans="4:8">
      <c r="D271" s="159"/>
      <c r="E271" s="159"/>
      <c r="F271" s="102"/>
      <c r="G271" s="102"/>
      <c r="H271" s="102"/>
    </row>
    <row r="272" spans="4:8">
      <c r="D272" s="159"/>
      <c r="E272" s="159"/>
      <c r="F272" s="102"/>
      <c r="G272" s="102"/>
      <c r="H272" s="102"/>
    </row>
    <row r="273" spans="4:8">
      <c r="D273" s="159"/>
      <c r="E273" s="159"/>
      <c r="F273" s="102"/>
      <c r="G273" s="102"/>
      <c r="H273" s="102"/>
    </row>
    <row r="274" spans="4:8">
      <c r="D274" s="159"/>
      <c r="E274" s="159"/>
      <c r="F274" s="102"/>
      <c r="G274" s="102"/>
      <c r="H274" s="102"/>
    </row>
    <row r="275" spans="4:8">
      <c r="D275" s="159"/>
      <c r="E275" s="159"/>
      <c r="F275" s="102"/>
      <c r="G275" s="102"/>
      <c r="H275" s="102"/>
    </row>
    <row r="276" spans="4:8">
      <c r="D276" s="159"/>
      <c r="E276" s="159"/>
      <c r="F276" s="102"/>
      <c r="G276" s="102"/>
      <c r="H276" s="102"/>
    </row>
    <row r="277" spans="4:8">
      <c r="D277" s="159"/>
      <c r="E277" s="159"/>
      <c r="F277" s="102"/>
      <c r="G277" s="102"/>
      <c r="H277" s="102"/>
    </row>
    <row r="278" spans="4:8">
      <c r="D278" s="159"/>
      <c r="E278" s="159"/>
      <c r="F278" s="102"/>
      <c r="G278" s="102"/>
      <c r="H278" s="102"/>
    </row>
    <row r="279" spans="4:8">
      <c r="D279" s="159"/>
      <c r="E279" s="159"/>
      <c r="F279" s="102"/>
      <c r="G279" s="102"/>
      <c r="H279" s="102"/>
    </row>
    <row r="280" spans="4:8">
      <c r="D280" s="159"/>
      <c r="E280" s="159"/>
      <c r="F280" s="102"/>
      <c r="G280" s="102"/>
      <c r="H280" s="102"/>
    </row>
    <row r="281" spans="4:8">
      <c r="D281" s="159"/>
      <c r="E281" s="159"/>
      <c r="F281" s="102"/>
      <c r="G281" s="102"/>
      <c r="H281" s="102"/>
    </row>
    <row r="282" spans="4:8">
      <c r="D282" s="159"/>
      <c r="E282" s="159"/>
      <c r="F282" s="102"/>
      <c r="G282" s="102"/>
      <c r="H282" s="102"/>
    </row>
    <row r="283" spans="4:8">
      <c r="D283" s="159"/>
      <c r="E283" s="159"/>
      <c r="F283" s="102"/>
      <c r="G283" s="102"/>
      <c r="H283" s="102"/>
    </row>
    <row r="284" spans="4:8">
      <c r="D284" s="159"/>
      <c r="E284" s="159"/>
      <c r="F284" s="102"/>
      <c r="G284" s="102"/>
      <c r="H284" s="102"/>
    </row>
    <row r="285" spans="4:8">
      <c r="D285" s="159"/>
      <c r="E285" s="159"/>
      <c r="F285" s="102"/>
      <c r="G285" s="102"/>
      <c r="H285" s="102"/>
    </row>
    <row r="286" spans="4:8">
      <c r="D286" s="159"/>
      <c r="E286" s="159"/>
      <c r="F286" s="102"/>
      <c r="G286" s="102"/>
      <c r="H286" s="102"/>
    </row>
    <row r="287" spans="4:8">
      <c r="D287" s="159"/>
      <c r="E287" s="159"/>
      <c r="F287" s="102"/>
      <c r="G287" s="102"/>
      <c r="H287" s="102"/>
    </row>
    <row r="288" spans="4:8">
      <c r="D288" s="159"/>
      <c r="E288" s="159"/>
      <c r="F288" s="102"/>
      <c r="G288" s="102"/>
      <c r="H288" s="102"/>
    </row>
    <row r="289" spans="4:8">
      <c r="D289" s="159"/>
      <c r="E289" s="159"/>
      <c r="F289" s="102"/>
      <c r="G289" s="102"/>
      <c r="H289" s="102"/>
    </row>
    <row r="290" spans="4:8">
      <c r="D290" s="159"/>
      <c r="E290" s="159"/>
      <c r="F290" s="102"/>
      <c r="G290" s="102"/>
      <c r="H290" s="102"/>
    </row>
    <row r="291" spans="4:8">
      <c r="D291" s="159"/>
      <c r="E291" s="159"/>
      <c r="F291" s="102"/>
      <c r="G291" s="102"/>
      <c r="H291" s="102"/>
    </row>
    <row r="292" spans="4:8">
      <c r="D292" s="159"/>
      <c r="E292" s="159"/>
      <c r="F292" s="102"/>
      <c r="G292" s="102"/>
      <c r="H292" s="102"/>
    </row>
    <row r="293" spans="4:8">
      <c r="D293" s="159"/>
      <c r="E293" s="159"/>
      <c r="F293" s="102"/>
      <c r="G293" s="102"/>
      <c r="H293" s="102"/>
    </row>
    <row r="294" spans="4:8">
      <c r="D294" s="159"/>
      <c r="E294" s="159"/>
      <c r="F294" s="102"/>
      <c r="G294" s="102"/>
      <c r="H294" s="102"/>
    </row>
    <row r="295" spans="4:8">
      <c r="D295" s="159"/>
      <c r="E295" s="159"/>
      <c r="F295" s="102"/>
      <c r="G295" s="102"/>
      <c r="H295" s="102"/>
    </row>
    <row r="296" spans="4:8">
      <c r="D296" s="159"/>
      <c r="E296" s="159"/>
      <c r="F296" s="102"/>
      <c r="G296" s="102"/>
      <c r="H296" s="102"/>
    </row>
    <row r="297" spans="4:8">
      <c r="D297" s="159"/>
      <c r="E297" s="159"/>
      <c r="F297" s="102"/>
      <c r="G297" s="102"/>
      <c r="H297" s="102"/>
    </row>
    <row r="298" spans="4:8">
      <c r="D298" s="159"/>
      <c r="E298" s="159"/>
      <c r="F298" s="102"/>
      <c r="G298" s="102"/>
      <c r="H298" s="102"/>
    </row>
    <row r="299" spans="4:8">
      <c r="D299" s="159"/>
      <c r="E299" s="159"/>
      <c r="F299" s="102"/>
      <c r="G299" s="102"/>
      <c r="H299" s="102"/>
    </row>
    <row r="300" spans="4:8">
      <c r="D300" s="159"/>
      <c r="E300" s="159"/>
      <c r="F300" s="102"/>
      <c r="G300" s="102"/>
      <c r="H300" s="102"/>
    </row>
    <row r="301" spans="4:8">
      <c r="D301" s="159"/>
      <c r="E301" s="159"/>
      <c r="F301" s="102"/>
      <c r="G301" s="102"/>
      <c r="H301" s="102"/>
    </row>
    <row r="302" spans="4:8">
      <c r="D302" s="159"/>
      <c r="E302" s="159"/>
      <c r="F302" s="102"/>
      <c r="G302" s="102"/>
      <c r="H302" s="102"/>
    </row>
    <row r="303" spans="4:8">
      <c r="D303" s="159"/>
      <c r="E303" s="159"/>
      <c r="F303" s="102"/>
      <c r="G303" s="102"/>
      <c r="H303" s="102"/>
    </row>
    <row r="304" spans="4:8">
      <c r="D304" s="159"/>
      <c r="E304" s="159"/>
      <c r="F304" s="102"/>
      <c r="G304" s="102"/>
      <c r="H304" s="102"/>
    </row>
    <row r="305" spans="4:8">
      <c r="D305" s="159"/>
      <c r="E305" s="159"/>
      <c r="F305" s="102"/>
      <c r="G305" s="102"/>
      <c r="H305" s="102"/>
    </row>
    <row r="306" spans="4:8">
      <c r="D306" s="159"/>
      <c r="E306" s="159"/>
      <c r="F306" s="102"/>
      <c r="G306" s="102"/>
      <c r="H306" s="102"/>
    </row>
    <row r="307" spans="4:8">
      <c r="D307" s="159"/>
      <c r="E307" s="159"/>
      <c r="F307" s="102"/>
      <c r="G307" s="102"/>
      <c r="H307" s="102"/>
    </row>
    <row r="308" spans="4:8">
      <c r="D308" s="159"/>
      <c r="E308" s="159"/>
      <c r="F308" s="102"/>
      <c r="G308" s="102"/>
      <c r="H308" s="102"/>
    </row>
    <row r="309" spans="4:8">
      <c r="D309" s="159"/>
      <c r="E309" s="159"/>
      <c r="F309" s="102"/>
      <c r="G309" s="102"/>
      <c r="H309" s="102"/>
    </row>
    <row r="310" spans="4:8">
      <c r="D310" s="159"/>
      <c r="E310" s="159"/>
      <c r="F310" s="102"/>
      <c r="G310" s="102"/>
      <c r="H310" s="102"/>
    </row>
    <row r="311" spans="4:8">
      <c r="D311" s="159"/>
      <c r="E311" s="159"/>
      <c r="F311" s="102"/>
      <c r="G311" s="102"/>
      <c r="H311" s="102"/>
    </row>
    <row r="312" spans="4:8">
      <c r="D312" s="159"/>
      <c r="E312" s="159"/>
      <c r="F312" s="102"/>
      <c r="G312" s="102"/>
      <c r="H312" s="102"/>
    </row>
    <row r="313" spans="4:8">
      <c r="D313" s="159"/>
      <c r="E313" s="159"/>
      <c r="F313" s="102"/>
      <c r="G313" s="102"/>
      <c r="H313" s="102"/>
    </row>
    <row r="314" spans="4:8">
      <c r="D314" s="159"/>
      <c r="E314" s="159"/>
      <c r="F314" s="102"/>
      <c r="G314" s="102"/>
      <c r="H314" s="102"/>
    </row>
    <row r="315" spans="4:8">
      <c r="D315" s="159"/>
      <c r="E315" s="159"/>
      <c r="F315" s="102"/>
      <c r="G315" s="102"/>
      <c r="H315" s="102"/>
    </row>
    <row r="316" spans="4:8">
      <c r="D316" s="159"/>
      <c r="E316" s="159"/>
      <c r="F316" s="102"/>
      <c r="G316" s="102"/>
      <c r="H316" s="102"/>
    </row>
    <row r="317" spans="4:8">
      <c r="D317" s="159"/>
      <c r="E317" s="159"/>
      <c r="F317" s="102"/>
      <c r="G317" s="102"/>
      <c r="H317" s="102"/>
    </row>
    <row r="318" spans="4:8">
      <c r="D318" s="159"/>
      <c r="E318" s="159"/>
      <c r="F318" s="102"/>
      <c r="G318" s="102"/>
      <c r="H318" s="102"/>
    </row>
    <row r="319" spans="4:8">
      <c r="D319" s="159"/>
      <c r="E319" s="159"/>
      <c r="F319" s="102"/>
      <c r="G319" s="102"/>
      <c r="H319" s="102"/>
    </row>
    <row r="320" spans="4:8">
      <c r="D320" s="159"/>
      <c r="E320" s="159"/>
      <c r="F320" s="102"/>
      <c r="G320" s="102"/>
      <c r="H320" s="102"/>
    </row>
    <row r="321" spans="4:8">
      <c r="D321" s="159"/>
      <c r="E321" s="159"/>
      <c r="F321" s="102"/>
      <c r="G321" s="102"/>
      <c r="H321" s="102"/>
    </row>
    <row r="322" spans="4:8">
      <c r="D322" s="159"/>
      <c r="E322" s="159"/>
      <c r="F322" s="102"/>
      <c r="G322" s="102"/>
      <c r="H322" s="102"/>
    </row>
    <row r="323" spans="4:8">
      <c r="D323" s="159"/>
      <c r="E323" s="159"/>
      <c r="F323" s="102"/>
      <c r="G323" s="102"/>
      <c r="H323" s="102"/>
    </row>
    <row r="324" spans="4:8">
      <c r="D324" s="159"/>
      <c r="E324" s="159"/>
      <c r="F324" s="102"/>
      <c r="G324" s="102"/>
      <c r="H324" s="102"/>
    </row>
    <row r="325" spans="4:8">
      <c r="D325" s="159"/>
      <c r="E325" s="159"/>
      <c r="F325" s="102"/>
      <c r="G325" s="102"/>
      <c r="H325" s="102"/>
    </row>
    <row r="326" spans="4:8">
      <c r="D326" s="159"/>
      <c r="E326" s="159"/>
      <c r="F326" s="102"/>
      <c r="G326" s="102"/>
      <c r="H326" s="102"/>
    </row>
    <row r="327" spans="4:8">
      <c r="D327" s="159"/>
      <c r="E327" s="159"/>
      <c r="F327" s="102"/>
      <c r="G327" s="102"/>
      <c r="H327" s="102"/>
    </row>
    <row r="328" spans="4:8">
      <c r="D328" s="159"/>
      <c r="E328" s="159"/>
      <c r="F328" s="102"/>
      <c r="G328" s="102"/>
      <c r="H328" s="102"/>
    </row>
    <row r="329" spans="4:8">
      <c r="D329" s="159"/>
      <c r="E329" s="159"/>
      <c r="F329" s="102"/>
      <c r="G329" s="102"/>
      <c r="H329" s="102"/>
    </row>
    <row r="330" spans="4:8">
      <c r="D330" s="159"/>
      <c r="E330" s="159"/>
      <c r="F330" s="102"/>
      <c r="G330" s="102"/>
      <c r="H330" s="102"/>
    </row>
    <row r="331" spans="4:8">
      <c r="D331" s="159"/>
      <c r="E331" s="159"/>
      <c r="F331" s="102"/>
      <c r="G331" s="102"/>
      <c r="H331" s="102"/>
    </row>
    <row r="332" spans="4:8">
      <c r="D332" s="159"/>
      <c r="E332" s="159"/>
      <c r="F332" s="102"/>
      <c r="G332" s="102"/>
      <c r="H332" s="102"/>
    </row>
    <row r="333" spans="4:8">
      <c r="D333" s="159"/>
      <c r="E333" s="159"/>
      <c r="F333" s="102"/>
      <c r="G333" s="102"/>
      <c r="H333" s="102"/>
    </row>
    <row r="334" spans="4:8">
      <c r="D334" s="159"/>
      <c r="E334" s="159"/>
      <c r="F334" s="102"/>
      <c r="G334" s="102"/>
      <c r="H334" s="102"/>
    </row>
    <row r="335" spans="4:8">
      <c r="D335" s="159"/>
      <c r="E335" s="159"/>
      <c r="F335" s="102"/>
      <c r="G335" s="102"/>
      <c r="H335" s="102"/>
    </row>
    <row r="336" spans="4:8">
      <c r="D336" s="159"/>
      <c r="E336" s="159"/>
      <c r="F336" s="102"/>
      <c r="G336" s="102"/>
      <c r="H336" s="102"/>
    </row>
    <row r="337" spans="4:8">
      <c r="D337" s="159"/>
      <c r="E337" s="159"/>
      <c r="F337" s="102"/>
      <c r="G337" s="102"/>
      <c r="H337" s="102"/>
    </row>
    <row r="338" spans="4:8">
      <c r="D338" s="159"/>
      <c r="E338" s="159"/>
      <c r="F338" s="102"/>
      <c r="G338" s="102"/>
      <c r="H338" s="102"/>
    </row>
    <row r="339" spans="4:8">
      <c r="D339" s="159"/>
      <c r="E339" s="159"/>
      <c r="F339" s="102"/>
      <c r="G339" s="102"/>
      <c r="H339" s="102"/>
    </row>
    <row r="340" spans="4:8">
      <c r="D340" s="159"/>
      <c r="E340" s="159"/>
      <c r="F340" s="102"/>
      <c r="G340" s="102"/>
      <c r="H340" s="102"/>
    </row>
    <row r="341" spans="4:8">
      <c r="D341" s="159"/>
      <c r="E341" s="159"/>
      <c r="F341" s="102"/>
      <c r="G341" s="102"/>
      <c r="H341" s="102"/>
    </row>
    <row r="342" spans="4:8">
      <c r="D342" s="159"/>
      <c r="E342" s="159"/>
      <c r="F342" s="102"/>
      <c r="G342" s="102"/>
      <c r="H342" s="102"/>
    </row>
    <row r="343" spans="4:8">
      <c r="D343" s="159"/>
      <c r="E343" s="159"/>
      <c r="F343" s="102"/>
      <c r="G343" s="102"/>
      <c r="H343" s="102"/>
    </row>
    <row r="344" spans="4:8">
      <c r="D344" s="159"/>
      <c r="E344" s="159"/>
      <c r="F344" s="102"/>
      <c r="G344" s="102"/>
      <c r="H344" s="102"/>
    </row>
    <row r="345" spans="4:8">
      <c r="D345" s="159"/>
      <c r="E345" s="159"/>
      <c r="F345" s="102"/>
      <c r="G345" s="102"/>
      <c r="H345" s="102"/>
    </row>
    <row r="346" spans="4:8">
      <c r="D346" s="159"/>
      <c r="E346" s="159"/>
      <c r="F346" s="102"/>
      <c r="G346" s="102"/>
      <c r="H346" s="102"/>
    </row>
    <row r="347" spans="4:8">
      <c r="D347" s="159"/>
      <c r="E347" s="159"/>
      <c r="F347" s="102"/>
      <c r="G347" s="102"/>
      <c r="H347" s="102"/>
    </row>
    <row r="348" spans="4:8">
      <c r="D348" s="159"/>
      <c r="E348" s="159"/>
      <c r="F348" s="102"/>
      <c r="G348" s="102"/>
      <c r="H348" s="102"/>
    </row>
    <row r="349" spans="4:8">
      <c r="D349" s="159"/>
      <c r="E349" s="159"/>
      <c r="F349" s="102"/>
      <c r="G349" s="102"/>
      <c r="H349" s="102"/>
    </row>
    <row r="350" spans="4:8">
      <c r="D350" s="159"/>
      <c r="E350" s="159"/>
      <c r="F350" s="102"/>
      <c r="G350" s="102"/>
      <c r="H350" s="102"/>
    </row>
    <row r="351" spans="4:8">
      <c r="D351" s="159"/>
      <c r="E351" s="159"/>
      <c r="F351" s="102"/>
      <c r="G351" s="102"/>
      <c r="H351" s="102"/>
    </row>
    <row r="352" spans="4:8">
      <c r="D352" s="159"/>
      <c r="E352" s="159"/>
      <c r="F352" s="102"/>
      <c r="G352" s="102"/>
      <c r="H352" s="102"/>
    </row>
    <row r="353" spans="4:8">
      <c r="D353" s="159"/>
      <c r="E353" s="159"/>
      <c r="F353" s="102"/>
      <c r="G353" s="102"/>
      <c r="H353" s="102"/>
    </row>
    <row r="354" spans="4:8">
      <c r="D354" s="159"/>
      <c r="E354" s="159"/>
      <c r="F354" s="102"/>
      <c r="G354" s="102"/>
      <c r="H354" s="102"/>
    </row>
    <row r="355" spans="4:8">
      <c r="D355" s="159"/>
      <c r="E355" s="159"/>
      <c r="F355" s="102"/>
      <c r="G355" s="102"/>
      <c r="H355" s="102"/>
    </row>
    <row r="356" spans="4:8">
      <c r="D356" s="159"/>
      <c r="E356" s="159"/>
      <c r="F356" s="102"/>
      <c r="G356" s="102"/>
      <c r="H356" s="102"/>
    </row>
    <row r="357" spans="4:8">
      <c r="D357" s="159"/>
      <c r="E357" s="159"/>
      <c r="F357" s="102"/>
      <c r="G357" s="102"/>
      <c r="H357" s="102"/>
    </row>
    <row r="358" spans="4:8">
      <c r="D358" s="159"/>
      <c r="E358" s="159"/>
      <c r="F358" s="102"/>
      <c r="G358" s="102"/>
      <c r="H358" s="102"/>
    </row>
    <row r="359" spans="4:8">
      <c r="D359" s="159"/>
      <c r="E359" s="159"/>
      <c r="F359" s="102"/>
      <c r="G359" s="102"/>
      <c r="H359" s="102"/>
    </row>
    <row r="360" spans="4:8">
      <c r="D360" s="159"/>
      <c r="E360" s="159"/>
      <c r="F360" s="102"/>
      <c r="G360" s="102"/>
      <c r="H360" s="102"/>
    </row>
    <row r="361" spans="4:8">
      <c r="D361" s="159"/>
      <c r="E361" s="159"/>
      <c r="F361" s="102"/>
      <c r="G361" s="102"/>
      <c r="H361" s="102"/>
    </row>
    <row r="362" spans="4:8">
      <c r="D362" s="159"/>
      <c r="E362" s="159"/>
      <c r="F362" s="102"/>
      <c r="G362" s="102"/>
      <c r="H362" s="102"/>
    </row>
    <row r="363" spans="4:8">
      <c r="D363" s="159"/>
      <c r="E363" s="159"/>
      <c r="F363" s="102"/>
      <c r="G363" s="102"/>
      <c r="H363" s="102"/>
    </row>
    <row r="364" spans="4:8">
      <c r="D364" s="159"/>
      <c r="E364" s="159"/>
      <c r="F364" s="102"/>
      <c r="G364" s="102"/>
      <c r="H364" s="102"/>
    </row>
    <row r="365" spans="4:8">
      <c r="D365" s="159"/>
      <c r="E365" s="159"/>
      <c r="F365" s="102"/>
      <c r="G365" s="102"/>
      <c r="H365" s="102"/>
    </row>
    <row r="366" spans="4:8">
      <c r="D366" s="159"/>
      <c r="E366" s="159"/>
      <c r="F366" s="102"/>
      <c r="G366" s="102"/>
      <c r="H366" s="102"/>
    </row>
    <row r="367" spans="4:8">
      <c r="D367" s="159"/>
      <c r="E367" s="159"/>
      <c r="F367" s="102"/>
      <c r="G367" s="102"/>
      <c r="H367" s="102"/>
    </row>
    <row r="368" spans="4:8">
      <c r="D368" s="159"/>
      <c r="E368" s="159"/>
      <c r="F368" s="102"/>
      <c r="G368" s="102"/>
      <c r="H368" s="102"/>
    </row>
    <row r="369" spans="4:8">
      <c r="D369" s="159"/>
      <c r="E369" s="159"/>
      <c r="F369" s="102"/>
      <c r="G369" s="102"/>
      <c r="H369" s="102"/>
    </row>
    <row r="370" spans="4:8">
      <c r="D370" s="159"/>
      <c r="E370" s="159"/>
      <c r="F370" s="102"/>
      <c r="G370" s="102"/>
      <c r="H370" s="102"/>
    </row>
    <row r="371" spans="4:8">
      <c r="D371" s="159"/>
      <c r="E371" s="159"/>
      <c r="F371" s="102"/>
      <c r="G371" s="102"/>
      <c r="H371" s="102"/>
    </row>
    <row r="372" spans="4:8">
      <c r="D372" s="159"/>
      <c r="E372" s="159"/>
      <c r="F372" s="102"/>
      <c r="G372" s="102"/>
      <c r="H372" s="102"/>
    </row>
    <row r="373" spans="4:8">
      <c r="D373" s="159"/>
      <c r="E373" s="159"/>
      <c r="F373" s="102"/>
      <c r="G373" s="102"/>
      <c r="H373" s="102"/>
    </row>
    <row r="374" spans="4:8">
      <c r="D374" s="159"/>
      <c r="E374" s="159"/>
      <c r="F374" s="102"/>
      <c r="G374" s="102"/>
      <c r="H374" s="102"/>
    </row>
    <row r="375" spans="4:8">
      <c r="D375" s="159"/>
      <c r="E375" s="159"/>
      <c r="F375" s="102"/>
      <c r="G375" s="102"/>
      <c r="H375" s="102"/>
    </row>
    <row r="376" spans="4:8">
      <c r="D376" s="159"/>
      <c r="E376" s="159"/>
      <c r="F376" s="102"/>
      <c r="G376" s="102"/>
      <c r="H376" s="102"/>
    </row>
    <row r="377" spans="4:8">
      <c r="D377" s="159"/>
      <c r="E377" s="159"/>
      <c r="F377" s="102"/>
      <c r="G377" s="102"/>
      <c r="H377" s="102"/>
    </row>
    <row r="378" spans="4:8">
      <c r="D378" s="159"/>
      <c r="E378" s="159"/>
      <c r="F378" s="102"/>
      <c r="G378" s="102"/>
      <c r="H378" s="102"/>
    </row>
    <row r="379" spans="4:8">
      <c r="D379" s="159"/>
      <c r="E379" s="159"/>
      <c r="F379" s="102"/>
      <c r="G379" s="102"/>
      <c r="H379" s="102"/>
    </row>
    <row r="380" spans="4:8">
      <c r="D380" s="159"/>
      <c r="E380" s="159"/>
      <c r="F380" s="102"/>
      <c r="G380" s="102"/>
      <c r="H380" s="102"/>
    </row>
    <row r="381" spans="4:8">
      <c r="D381" s="159"/>
      <c r="E381" s="159"/>
      <c r="F381" s="102"/>
      <c r="G381" s="102"/>
      <c r="H381" s="102"/>
    </row>
    <row r="382" spans="4:8">
      <c r="D382" s="159"/>
      <c r="E382" s="159"/>
      <c r="F382" s="102"/>
      <c r="G382" s="102"/>
      <c r="H382" s="102"/>
    </row>
    <row r="383" spans="4:8">
      <c r="D383" s="159"/>
      <c r="E383" s="159"/>
      <c r="F383" s="102"/>
      <c r="G383" s="102"/>
      <c r="H383" s="102"/>
    </row>
    <row r="384" spans="4:8">
      <c r="D384" s="159"/>
      <c r="E384" s="159"/>
      <c r="F384" s="102"/>
      <c r="G384" s="102"/>
      <c r="H384" s="102"/>
    </row>
    <row r="385" spans="4:8">
      <c r="D385" s="159"/>
      <c r="E385" s="159"/>
      <c r="F385" s="102"/>
      <c r="G385" s="102"/>
      <c r="H385" s="102"/>
    </row>
    <row r="386" spans="4:8">
      <c r="D386" s="159"/>
      <c r="E386" s="159"/>
      <c r="F386" s="102"/>
      <c r="G386" s="102"/>
      <c r="H386" s="102"/>
    </row>
    <row r="387" spans="4:8">
      <c r="D387" s="159"/>
      <c r="E387" s="159"/>
      <c r="F387" s="102"/>
      <c r="G387" s="102"/>
      <c r="H387" s="102"/>
    </row>
    <row r="388" spans="4:8">
      <c r="D388" s="159"/>
      <c r="E388" s="159"/>
      <c r="F388" s="102"/>
      <c r="G388" s="102"/>
      <c r="H388" s="102"/>
    </row>
    <row r="389" spans="4:8">
      <c r="D389" s="159"/>
      <c r="E389" s="159"/>
      <c r="F389" s="102"/>
      <c r="G389" s="102"/>
      <c r="H389" s="102"/>
    </row>
    <row r="390" spans="4:8">
      <c r="D390" s="159"/>
      <c r="E390" s="159"/>
      <c r="F390" s="102"/>
      <c r="G390" s="102"/>
      <c r="H390" s="102"/>
    </row>
    <row r="391" spans="4:8">
      <c r="D391" s="159"/>
      <c r="E391" s="159"/>
      <c r="F391" s="102"/>
      <c r="G391" s="102"/>
      <c r="H391" s="102"/>
    </row>
    <row r="392" spans="4:8">
      <c r="D392" s="159"/>
      <c r="E392" s="159"/>
      <c r="F392" s="102"/>
      <c r="G392" s="102"/>
      <c r="H392" s="102"/>
    </row>
    <row r="393" spans="4:8">
      <c r="D393" s="159"/>
      <c r="E393" s="159"/>
      <c r="F393" s="102"/>
      <c r="G393" s="102"/>
      <c r="H393" s="102"/>
    </row>
    <row r="394" spans="4:8">
      <c r="D394" s="159"/>
      <c r="E394" s="159"/>
      <c r="F394" s="102"/>
      <c r="G394" s="102"/>
      <c r="H394" s="102"/>
    </row>
    <row r="395" spans="4:8">
      <c r="D395" s="159"/>
      <c r="E395" s="159"/>
      <c r="F395" s="102"/>
      <c r="G395" s="102"/>
      <c r="H395" s="102"/>
    </row>
    <row r="396" spans="4:8">
      <c r="D396" s="159"/>
      <c r="E396" s="159"/>
      <c r="F396" s="102"/>
      <c r="G396" s="102"/>
      <c r="H396" s="102"/>
    </row>
    <row r="397" spans="4:8">
      <c r="D397" s="159"/>
      <c r="E397" s="159"/>
      <c r="F397" s="102"/>
      <c r="G397" s="102"/>
      <c r="H397" s="102"/>
    </row>
    <row r="398" spans="4:8">
      <c r="D398" s="159"/>
      <c r="E398" s="159"/>
      <c r="F398" s="102"/>
      <c r="G398" s="102"/>
      <c r="H398" s="102"/>
    </row>
    <row r="399" spans="4:8">
      <c r="D399" s="159"/>
      <c r="E399" s="159"/>
      <c r="F399" s="102"/>
      <c r="G399" s="102"/>
      <c r="H399" s="102"/>
    </row>
    <row r="400" spans="4:8">
      <c r="D400" s="159"/>
      <c r="E400" s="159"/>
      <c r="F400" s="102"/>
      <c r="G400" s="102"/>
      <c r="H400" s="102"/>
    </row>
    <row r="401" spans="4:8">
      <c r="D401" s="159"/>
      <c r="E401" s="159"/>
      <c r="F401" s="102"/>
      <c r="G401" s="102"/>
      <c r="H401" s="102"/>
    </row>
    <row r="402" spans="4:8">
      <c r="D402" s="159"/>
      <c r="E402" s="159"/>
      <c r="F402" s="102"/>
      <c r="G402" s="102"/>
      <c r="H402" s="102"/>
    </row>
    <row r="403" spans="4:8">
      <c r="D403" s="159"/>
      <c r="E403" s="159"/>
      <c r="F403" s="102"/>
      <c r="G403" s="102"/>
      <c r="H403" s="102"/>
    </row>
    <row r="404" spans="4:8">
      <c r="D404" s="159"/>
      <c r="E404" s="159"/>
      <c r="F404" s="102"/>
      <c r="G404" s="102"/>
      <c r="H404" s="102"/>
    </row>
    <row r="405" spans="4:8">
      <c r="D405" s="159"/>
      <c r="E405" s="159"/>
      <c r="F405" s="102"/>
      <c r="G405" s="102"/>
      <c r="H405" s="102"/>
    </row>
    <row r="406" spans="4:8">
      <c r="D406" s="159"/>
      <c r="E406" s="159"/>
      <c r="F406" s="102"/>
      <c r="G406" s="102"/>
      <c r="H406" s="102"/>
    </row>
    <row r="407" spans="4:8">
      <c r="D407" s="159"/>
      <c r="E407" s="159"/>
      <c r="F407" s="102"/>
      <c r="G407" s="102"/>
      <c r="H407" s="102"/>
    </row>
    <row r="408" spans="4:8">
      <c r="D408" s="159"/>
      <c r="E408" s="159"/>
      <c r="F408" s="102"/>
      <c r="G408" s="102"/>
      <c r="H408" s="102"/>
    </row>
    <row r="409" spans="4:8">
      <c r="D409" s="159"/>
      <c r="E409" s="159"/>
      <c r="F409" s="102"/>
      <c r="G409" s="102"/>
      <c r="H409" s="102"/>
    </row>
    <row r="410" spans="4:8">
      <c r="D410" s="159"/>
      <c r="E410" s="159"/>
      <c r="F410" s="102"/>
      <c r="G410" s="102"/>
      <c r="H410" s="102"/>
    </row>
    <row r="411" spans="4:8">
      <c r="D411" s="159"/>
      <c r="E411" s="159"/>
      <c r="F411" s="102"/>
      <c r="G411" s="102"/>
      <c r="H411" s="102"/>
    </row>
    <row r="412" spans="4:8">
      <c r="D412" s="159"/>
      <c r="E412" s="159"/>
      <c r="F412" s="102"/>
      <c r="G412" s="102"/>
      <c r="H412" s="102"/>
    </row>
    <row r="413" spans="4:8">
      <c r="D413" s="159"/>
      <c r="E413" s="159"/>
      <c r="F413" s="102"/>
      <c r="G413" s="102"/>
      <c r="H413" s="102"/>
    </row>
    <row r="414" spans="4:8">
      <c r="D414" s="159"/>
      <c r="E414" s="159"/>
      <c r="F414" s="102"/>
      <c r="G414" s="102"/>
      <c r="H414" s="102"/>
    </row>
    <row r="415" spans="4:8">
      <c r="D415" s="159"/>
      <c r="E415" s="159"/>
      <c r="F415" s="102"/>
      <c r="G415" s="102"/>
      <c r="H415" s="102"/>
    </row>
    <row r="416" spans="4:8">
      <c r="D416" s="159"/>
      <c r="E416" s="159"/>
      <c r="F416" s="102"/>
      <c r="G416" s="102"/>
      <c r="H416" s="102"/>
    </row>
    <row r="417" spans="4:8">
      <c r="D417" s="159"/>
      <c r="E417" s="159"/>
      <c r="F417" s="102"/>
      <c r="G417" s="102"/>
      <c r="H417" s="102"/>
    </row>
    <row r="418" spans="4:8">
      <c r="D418" s="159"/>
      <c r="E418" s="159"/>
      <c r="F418" s="102"/>
      <c r="G418" s="102"/>
      <c r="H418" s="102"/>
    </row>
    <row r="419" spans="4:8">
      <c r="D419" s="159"/>
      <c r="E419" s="159"/>
      <c r="F419" s="102"/>
      <c r="G419" s="102"/>
      <c r="H419" s="102"/>
    </row>
    <row r="420" spans="4:8">
      <c r="D420" s="159"/>
      <c r="E420" s="159"/>
      <c r="F420" s="102"/>
      <c r="G420" s="102"/>
      <c r="H420" s="102"/>
    </row>
    <row r="421" spans="4:8">
      <c r="D421" s="159"/>
      <c r="E421" s="159"/>
      <c r="F421" s="102"/>
      <c r="G421" s="102"/>
      <c r="H421" s="102"/>
    </row>
    <row r="422" spans="4:8">
      <c r="D422" s="159"/>
      <c r="E422" s="159"/>
      <c r="F422" s="102"/>
      <c r="G422" s="102"/>
      <c r="H422" s="102"/>
    </row>
    <row r="423" spans="4:8">
      <c r="D423" s="159"/>
      <c r="E423" s="159"/>
      <c r="F423" s="102"/>
      <c r="G423" s="102"/>
      <c r="H423" s="102"/>
    </row>
    <row r="424" spans="4:8">
      <c r="D424" s="159"/>
      <c r="E424" s="159"/>
      <c r="F424" s="102"/>
      <c r="G424" s="102"/>
      <c r="H424" s="102"/>
    </row>
    <row r="425" spans="4:8">
      <c r="D425" s="159"/>
      <c r="E425" s="159"/>
      <c r="F425" s="102"/>
      <c r="G425" s="102"/>
      <c r="H425" s="102"/>
    </row>
    <row r="426" spans="4:8">
      <c r="D426" s="159"/>
      <c r="E426" s="159"/>
      <c r="F426" s="102"/>
      <c r="G426" s="102"/>
      <c r="H426" s="102"/>
    </row>
    <row r="427" spans="4:8">
      <c r="D427" s="159"/>
      <c r="E427" s="159"/>
      <c r="F427" s="102"/>
      <c r="G427" s="102"/>
      <c r="H427" s="102"/>
    </row>
    <row r="428" spans="4:8">
      <c r="D428" s="159"/>
      <c r="E428" s="159"/>
      <c r="F428" s="102"/>
      <c r="G428" s="102"/>
      <c r="H428" s="102"/>
    </row>
    <row r="429" spans="4:8">
      <c r="D429" s="159"/>
      <c r="E429" s="159"/>
      <c r="F429" s="102"/>
      <c r="G429" s="102"/>
      <c r="H429" s="102"/>
    </row>
    <row r="430" spans="4:8">
      <c r="D430" s="159"/>
      <c r="E430" s="159"/>
      <c r="F430" s="102"/>
      <c r="G430" s="102"/>
      <c r="H430" s="102"/>
    </row>
    <row r="431" spans="4:8">
      <c r="D431" s="159"/>
      <c r="E431" s="159"/>
      <c r="F431" s="102"/>
      <c r="G431" s="102"/>
      <c r="H431" s="102"/>
    </row>
    <row r="432" spans="4:8">
      <c r="D432" s="159"/>
      <c r="E432" s="159"/>
      <c r="F432" s="102"/>
      <c r="G432" s="102"/>
      <c r="H432" s="102"/>
    </row>
    <row r="433" spans="4:8">
      <c r="D433" s="159"/>
      <c r="E433" s="159"/>
      <c r="F433" s="102"/>
      <c r="G433" s="102"/>
      <c r="H433" s="102"/>
    </row>
    <row r="434" spans="4:8">
      <c r="D434" s="159"/>
      <c r="E434" s="159"/>
      <c r="F434" s="102"/>
      <c r="G434" s="102"/>
      <c r="H434" s="102"/>
    </row>
    <row r="435" spans="4:8">
      <c r="D435" s="159"/>
      <c r="E435" s="159"/>
      <c r="F435" s="102"/>
      <c r="G435" s="102"/>
      <c r="H435" s="102"/>
    </row>
    <row r="436" spans="4:8">
      <c r="D436" s="159"/>
      <c r="E436" s="159"/>
      <c r="F436" s="102"/>
      <c r="G436" s="102"/>
      <c r="H436" s="102"/>
    </row>
    <row r="437" spans="4:8">
      <c r="D437" s="159"/>
      <c r="E437" s="159"/>
      <c r="F437" s="102"/>
      <c r="G437" s="102"/>
      <c r="H437" s="102"/>
    </row>
    <row r="438" spans="4:8">
      <c r="D438" s="159"/>
      <c r="E438" s="159"/>
      <c r="F438" s="102"/>
      <c r="G438" s="102"/>
      <c r="H438" s="102"/>
    </row>
    <row r="439" spans="4:8">
      <c r="D439" s="159"/>
      <c r="E439" s="159"/>
      <c r="F439" s="102"/>
      <c r="G439" s="102"/>
      <c r="H439" s="102"/>
    </row>
    <row r="440" spans="4:8">
      <c r="D440" s="159"/>
      <c r="E440" s="159"/>
      <c r="F440" s="102"/>
      <c r="G440" s="102"/>
      <c r="H440" s="102"/>
    </row>
    <row r="441" spans="4:8">
      <c r="D441" s="159"/>
      <c r="E441" s="159"/>
      <c r="F441" s="102"/>
      <c r="G441" s="102"/>
      <c r="H441" s="102"/>
    </row>
    <row r="442" spans="4:8">
      <c r="D442" s="159"/>
      <c r="E442" s="159"/>
      <c r="F442" s="102"/>
      <c r="G442" s="102"/>
      <c r="H442" s="102"/>
    </row>
    <row r="443" spans="4:8">
      <c r="D443" s="159"/>
      <c r="E443" s="159"/>
      <c r="F443" s="102"/>
      <c r="G443" s="102"/>
      <c r="H443" s="102"/>
    </row>
    <row r="444" spans="4:8">
      <c r="D444" s="159"/>
      <c r="E444" s="159"/>
      <c r="F444" s="102"/>
      <c r="G444" s="102"/>
      <c r="H444" s="102"/>
    </row>
    <row r="445" spans="4:8">
      <c r="D445" s="159"/>
      <c r="E445" s="159"/>
      <c r="F445" s="102"/>
      <c r="G445" s="102"/>
      <c r="H445" s="102"/>
    </row>
    <row r="446" spans="4:8">
      <c r="D446" s="159"/>
      <c r="E446" s="159"/>
      <c r="F446" s="102"/>
      <c r="G446" s="102"/>
      <c r="H446" s="102"/>
    </row>
    <row r="447" spans="4:8">
      <c r="D447" s="159"/>
      <c r="E447" s="159"/>
      <c r="F447" s="102"/>
      <c r="G447" s="102"/>
      <c r="H447" s="102"/>
    </row>
    <row r="448" spans="4:8">
      <c r="D448" s="159"/>
      <c r="E448" s="159"/>
      <c r="F448" s="102"/>
      <c r="G448" s="102"/>
      <c r="H448" s="102"/>
    </row>
    <row r="449" spans="4:8">
      <c r="D449" s="159"/>
      <c r="E449" s="159"/>
      <c r="F449" s="102"/>
      <c r="G449" s="102"/>
      <c r="H449" s="102"/>
    </row>
    <row r="450" spans="4:8">
      <c r="D450" s="159"/>
      <c r="E450" s="159"/>
      <c r="F450" s="102"/>
      <c r="G450" s="102"/>
      <c r="H450" s="102"/>
    </row>
    <row r="451" spans="4:8">
      <c r="D451" s="159"/>
      <c r="E451" s="159"/>
      <c r="F451" s="102"/>
      <c r="G451" s="102"/>
      <c r="H451" s="102"/>
    </row>
    <row r="452" spans="4:8">
      <c r="D452" s="159"/>
      <c r="E452" s="159"/>
      <c r="F452" s="102"/>
      <c r="G452" s="102"/>
      <c r="H452" s="102"/>
    </row>
    <row r="453" spans="4:8">
      <c r="D453" s="159"/>
      <c r="E453" s="159"/>
      <c r="F453" s="102"/>
      <c r="G453" s="102"/>
      <c r="H453" s="102"/>
    </row>
    <row r="454" spans="4:8">
      <c r="D454" s="159"/>
      <c r="E454" s="159"/>
      <c r="F454" s="102"/>
      <c r="G454" s="102"/>
      <c r="H454" s="102"/>
    </row>
    <row r="455" spans="4:8">
      <c r="D455" s="159"/>
      <c r="E455" s="159"/>
      <c r="F455" s="102"/>
      <c r="G455" s="102"/>
      <c r="H455" s="102"/>
    </row>
    <row r="456" spans="4:8">
      <c r="D456" s="159"/>
      <c r="E456" s="159"/>
      <c r="F456" s="102"/>
      <c r="G456" s="102"/>
      <c r="H456" s="102"/>
    </row>
    <row r="457" spans="4:8">
      <c r="D457" s="159"/>
      <c r="E457" s="159"/>
      <c r="F457" s="102"/>
      <c r="G457" s="102"/>
      <c r="H457" s="102"/>
    </row>
    <row r="458" spans="4:8">
      <c r="D458" s="159"/>
      <c r="E458" s="159"/>
      <c r="F458" s="102"/>
      <c r="G458" s="102"/>
      <c r="H458" s="102"/>
    </row>
    <row r="459" spans="4:8">
      <c r="D459" s="159"/>
      <c r="E459" s="159"/>
      <c r="F459" s="102"/>
      <c r="G459" s="102"/>
      <c r="H459" s="102"/>
    </row>
    <row r="460" spans="4:8">
      <c r="D460" s="159"/>
      <c r="E460" s="159"/>
      <c r="F460" s="102"/>
      <c r="G460" s="102"/>
      <c r="H460" s="102"/>
    </row>
    <row r="461" spans="4:8">
      <c r="D461" s="159"/>
      <c r="E461" s="159"/>
      <c r="F461" s="102"/>
      <c r="G461" s="102"/>
      <c r="H461" s="102"/>
    </row>
    <row r="462" spans="4:8">
      <c r="D462" s="159"/>
      <c r="E462" s="159"/>
      <c r="F462" s="102"/>
      <c r="G462" s="102"/>
      <c r="H462" s="102"/>
    </row>
    <row r="463" spans="4:8">
      <c r="D463" s="159"/>
      <c r="E463" s="159"/>
      <c r="F463" s="102"/>
      <c r="G463" s="102"/>
      <c r="H463" s="102"/>
    </row>
    <row r="464" spans="4:8">
      <c r="D464" s="159"/>
      <c r="E464" s="159"/>
      <c r="F464" s="102"/>
      <c r="G464" s="102"/>
      <c r="H464" s="102"/>
    </row>
    <row r="465" spans="4:8">
      <c r="D465" s="159"/>
      <c r="E465" s="159"/>
      <c r="F465" s="102"/>
      <c r="G465" s="102"/>
      <c r="H465" s="102"/>
    </row>
    <row r="466" spans="4:8">
      <c r="D466" s="159"/>
      <c r="E466" s="159"/>
      <c r="F466" s="102"/>
      <c r="G466" s="102"/>
      <c r="H466" s="102"/>
    </row>
    <row r="467" spans="4:8">
      <c r="D467" s="159"/>
      <c r="E467" s="159"/>
      <c r="F467" s="102"/>
      <c r="G467" s="102"/>
      <c r="H467" s="102"/>
    </row>
    <row r="468" spans="4:8">
      <c r="D468" s="159"/>
      <c r="E468" s="159"/>
      <c r="F468" s="102"/>
      <c r="G468" s="102"/>
      <c r="H468" s="102"/>
    </row>
    <row r="469" spans="4:8">
      <c r="D469" s="159"/>
      <c r="E469" s="159"/>
      <c r="F469" s="102"/>
      <c r="G469" s="102"/>
      <c r="H469" s="102"/>
    </row>
    <row r="470" spans="4:8">
      <c r="D470" s="159"/>
      <c r="E470" s="159"/>
      <c r="F470" s="102"/>
      <c r="G470" s="102"/>
      <c r="H470" s="102"/>
    </row>
    <row r="471" spans="4:8">
      <c r="D471" s="159"/>
      <c r="E471" s="159"/>
      <c r="F471" s="102"/>
      <c r="G471" s="102"/>
      <c r="H471" s="102"/>
    </row>
    <row r="472" spans="4:8">
      <c r="D472" s="159"/>
      <c r="E472" s="159"/>
      <c r="F472" s="102"/>
      <c r="G472" s="102"/>
      <c r="H472" s="102"/>
    </row>
    <row r="473" spans="4:8">
      <c r="D473" s="159"/>
      <c r="E473" s="159"/>
      <c r="F473" s="102"/>
      <c r="G473" s="102"/>
      <c r="H473" s="102"/>
    </row>
    <row r="474" spans="4:8">
      <c r="D474" s="159"/>
      <c r="E474" s="159"/>
      <c r="F474" s="102"/>
      <c r="G474" s="102"/>
      <c r="H474" s="102"/>
    </row>
    <row r="475" spans="4:8">
      <c r="D475" s="159"/>
      <c r="E475" s="159"/>
      <c r="F475" s="102"/>
      <c r="G475" s="102"/>
      <c r="H475" s="102"/>
    </row>
    <row r="476" spans="4:8">
      <c r="D476" s="159"/>
      <c r="E476" s="159"/>
      <c r="F476" s="102"/>
      <c r="G476" s="102"/>
      <c r="H476" s="102"/>
    </row>
    <row r="477" spans="4:8">
      <c r="D477" s="159"/>
      <c r="E477" s="159"/>
      <c r="F477" s="102"/>
      <c r="G477" s="102"/>
      <c r="H477" s="102"/>
    </row>
    <row r="478" spans="4:8">
      <c r="D478" s="159"/>
      <c r="E478" s="159"/>
      <c r="F478" s="102"/>
      <c r="G478" s="102"/>
      <c r="H478" s="102"/>
    </row>
    <row r="479" spans="4:8">
      <c r="D479" s="159"/>
      <c r="E479" s="159"/>
      <c r="F479" s="102"/>
      <c r="G479" s="102"/>
      <c r="H479" s="102"/>
    </row>
    <row r="480" spans="4:8">
      <c r="D480" s="159"/>
      <c r="E480" s="159"/>
      <c r="F480" s="102"/>
      <c r="G480" s="102"/>
      <c r="H480" s="102"/>
    </row>
    <row r="481" spans="4:8">
      <c r="D481" s="159"/>
      <c r="E481" s="159"/>
      <c r="F481" s="102"/>
      <c r="G481" s="102"/>
      <c r="H481" s="102"/>
    </row>
    <row r="482" spans="4:8">
      <c r="D482" s="159"/>
      <c r="E482" s="159"/>
      <c r="F482" s="102"/>
      <c r="G482" s="102"/>
      <c r="H482" s="102"/>
    </row>
    <row r="483" spans="4:8">
      <c r="D483" s="159"/>
      <c r="E483" s="159"/>
      <c r="F483" s="102"/>
      <c r="G483" s="102"/>
      <c r="H483" s="102"/>
    </row>
    <row r="484" spans="4:8">
      <c r="D484" s="159"/>
      <c r="E484" s="159"/>
      <c r="F484" s="102"/>
      <c r="G484" s="102"/>
      <c r="H484" s="102"/>
    </row>
    <row r="485" spans="4:8">
      <c r="D485" s="159"/>
      <c r="E485" s="159"/>
      <c r="F485" s="102"/>
      <c r="G485" s="102"/>
      <c r="H485" s="102"/>
    </row>
    <row r="486" spans="4:8">
      <c r="D486" s="159"/>
      <c r="E486" s="159"/>
      <c r="F486" s="102"/>
      <c r="G486" s="102"/>
      <c r="H486" s="102"/>
    </row>
    <row r="487" spans="4:8">
      <c r="D487" s="159"/>
      <c r="E487" s="159"/>
      <c r="F487" s="102"/>
      <c r="G487" s="102"/>
      <c r="H487" s="102"/>
    </row>
    <row r="488" spans="4:8">
      <c r="D488" s="159"/>
      <c r="E488" s="159"/>
      <c r="F488" s="102"/>
      <c r="G488" s="102"/>
      <c r="H488" s="102"/>
    </row>
    <row r="489" spans="4:8">
      <c r="D489" s="159"/>
      <c r="E489" s="159"/>
      <c r="F489" s="102"/>
      <c r="G489" s="102"/>
      <c r="H489" s="102"/>
    </row>
    <row r="490" spans="4:8">
      <c r="D490" s="159"/>
      <c r="E490" s="159"/>
      <c r="F490" s="102"/>
      <c r="G490" s="102"/>
      <c r="H490" s="102"/>
    </row>
    <row r="491" spans="4:8">
      <c r="D491" s="159"/>
      <c r="E491" s="159"/>
      <c r="F491" s="102"/>
      <c r="G491" s="102"/>
      <c r="H491" s="102"/>
    </row>
    <row r="492" spans="4:8">
      <c r="D492" s="159"/>
      <c r="E492" s="159"/>
      <c r="F492" s="102"/>
      <c r="G492" s="102"/>
      <c r="H492" s="102"/>
    </row>
    <row r="493" spans="4:8">
      <c r="D493" s="159"/>
      <c r="E493" s="159"/>
      <c r="F493" s="102"/>
      <c r="G493" s="102"/>
      <c r="H493" s="102"/>
    </row>
    <row r="494" spans="4:8">
      <c r="D494" s="159"/>
      <c r="E494" s="159"/>
      <c r="F494" s="102"/>
      <c r="G494" s="102"/>
      <c r="H494" s="102"/>
    </row>
    <row r="495" spans="4:8">
      <c r="D495" s="159"/>
      <c r="E495" s="159"/>
      <c r="F495" s="102"/>
      <c r="G495" s="102"/>
      <c r="H495" s="102"/>
    </row>
    <row r="496" spans="4:8">
      <c r="D496" s="159"/>
      <c r="E496" s="159"/>
      <c r="F496" s="102"/>
      <c r="G496" s="102"/>
      <c r="H496" s="102"/>
    </row>
    <row r="497" spans="4:8">
      <c r="D497" s="159"/>
      <c r="E497" s="159"/>
      <c r="F497" s="102"/>
      <c r="G497" s="102"/>
      <c r="H497" s="102"/>
    </row>
    <row r="498" spans="4:8">
      <c r="D498" s="159"/>
      <c r="E498" s="159"/>
      <c r="F498" s="102"/>
      <c r="G498" s="102"/>
      <c r="H498" s="102"/>
    </row>
    <row r="499" spans="4:8">
      <c r="D499" s="159"/>
      <c r="E499" s="159"/>
      <c r="F499" s="102"/>
      <c r="G499" s="102"/>
      <c r="H499" s="102"/>
    </row>
    <row r="500" spans="4:8">
      <c r="D500" s="159"/>
      <c r="E500" s="159"/>
      <c r="F500" s="102"/>
      <c r="G500" s="102"/>
      <c r="H500" s="102"/>
    </row>
    <row r="501" spans="4:8">
      <c r="D501" s="159"/>
      <c r="E501" s="159"/>
      <c r="F501" s="102"/>
      <c r="G501" s="102"/>
      <c r="H501" s="102"/>
    </row>
    <row r="502" spans="4:8">
      <c r="D502" s="159"/>
      <c r="E502" s="159"/>
      <c r="F502" s="102"/>
      <c r="G502" s="102"/>
      <c r="H502" s="102"/>
    </row>
    <row r="503" spans="4:8">
      <c r="D503" s="159"/>
      <c r="E503" s="159"/>
      <c r="F503" s="102"/>
      <c r="G503" s="102"/>
      <c r="H503" s="102"/>
    </row>
    <row r="504" spans="4:8">
      <c r="D504" s="159"/>
      <c r="E504" s="159"/>
      <c r="F504" s="102"/>
      <c r="G504" s="102"/>
      <c r="H504" s="102"/>
    </row>
    <row r="505" spans="4:8">
      <c r="D505" s="159"/>
      <c r="E505" s="159"/>
      <c r="F505" s="102"/>
      <c r="G505" s="102"/>
      <c r="H505" s="102"/>
    </row>
    <row r="506" spans="4:8">
      <c r="D506" s="159"/>
      <c r="E506" s="159"/>
      <c r="F506" s="102"/>
      <c r="G506" s="102"/>
      <c r="H506" s="102"/>
    </row>
    <row r="507" spans="4:8">
      <c r="D507" s="159"/>
      <c r="E507" s="159"/>
      <c r="F507" s="102"/>
      <c r="G507" s="102"/>
      <c r="H507" s="102"/>
    </row>
    <row r="508" spans="4:8">
      <c r="D508" s="159"/>
      <c r="E508" s="159"/>
      <c r="F508" s="102"/>
      <c r="G508" s="102"/>
      <c r="H508" s="102"/>
    </row>
    <row r="509" spans="4:8">
      <c r="D509" s="159"/>
      <c r="E509" s="159"/>
      <c r="F509" s="102"/>
      <c r="G509" s="102"/>
      <c r="H509" s="102"/>
    </row>
    <row r="510" spans="4:8">
      <c r="D510" s="159"/>
      <c r="E510" s="159"/>
      <c r="F510" s="102"/>
      <c r="G510" s="102"/>
      <c r="H510" s="102"/>
    </row>
    <row r="511" spans="4:8">
      <c r="D511" s="159"/>
      <c r="E511" s="159"/>
      <c r="F511" s="102"/>
      <c r="G511" s="102"/>
      <c r="H511" s="102"/>
    </row>
    <row r="512" spans="4:8">
      <c r="D512" s="159"/>
      <c r="E512" s="159"/>
      <c r="F512" s="102"/>
      <c r="G512" s="102"/>
      <c r="H512" s="102"/>
    </row>
    <row r="513" spans="4:8">
      <c r="D513" s="159"/>
      <c r="E513" s="159"/>
      <c r="F513" s="102"/>
      <c r="G513" s="102"/>
      <c r="H513" s="102"/>
    </row>
    <row r="514" spans="4:8">
      <c r="D514" s="159"/>
      <c r="E514" s="159"/>
      <c r="F514" s="102"/>
      <c r="G514" s="102"/>
      <c r="H514" s="102"/>
    </row>
    <row r="515" spans="4:8">
      <c r="D515" s="159"/>
      <c r="E515" s="159"/>
      <c r="F515" s="102"/>
      <c r="G515" s="102"/>
      <c r="H515" s="102"/>
    </row>
    <row r="516" spans="4:8">
      <c r="D516" s="159"/>
      <c r="E516" s="159"/>
      <c r="F516" s="102"/>
      <c r="G516" s="102"/>
      <c r="H516" s="102"/>
    </row>
    <row r="517" spans="4:8">
      <c r="D517" s="159"/>
      <c r="E517" s="159"/>
      <c r="F517" s="102"/>
      <c r="G517" s="102"/>
      <c r="H517" s="102"/>
    </row>
    <row r="518" spans="4:8">
      <c r="D518" s="159"/>
      <c r="E518" s="159"/>
      <c r="F518" s="102"/>
      <c r="G518" s="102"/>
      <c r="H518" s="102"/>
    </row>
    <row r="519" spans="4:8">
      <c r="D519" s="159"/>
      <c r="E519" s="159"/>
      <c r="F519" s="102"/>
      <c r="G519" s="102"/>
      <c r="H519" s="102"/>
    </row>
    <row r="520" spans="4:8">
      <c r="D520" s="159"/>
      <c r="E520" s="159"/>
      <c r="F520" s="102"/>
      <c r="G520" s="102"/>
      <c r="H520" s="102"/>
    </row>
    <row r="521" spans="4:8">
      <c r="D521" s="159"/>
      <c r="E521" s="159"/>
      <c r="F521" s="102"/>
      <c r="G521" s="102"/>
      <c r="H521" s="102"/>
    </row>
    <row r="522" spans="4:8">
      <c r="D522" s="159"/>
      <c r="E522" s="159"/>
      <c r="F522" s="102"/>
      <c r="G522" s="102"/>
      <c r="H522" s="102"/>
    </row>
    <row r="523" spans="4:8">
      <c r="D523" s="159"/>
      <c r="E523" s="159"/>
      <c r="F523" s="102"/>
      <c r="G523" s="102"/>
      <c r="H523" s="102"/>
    </row>
    <row r="524" spans="4:8">
      <c r="D524" s="159"/>
      <c r="E524" s="159"/>
      <c r="F524" s="102"/>
      <c r="G524" s="102"/>
      <c r="H524" s="102"/>
    </row>
    <row r="525" spans="4:8">
      <c r="D525" s="159"/>
      <c r="E525" s="159"/>
      <c r="F525" s="102"/>
      <c r="G525" s="102"/>
      <c r="H525" s="102"/>
    </row>
    <row r="526" spans="4:8">
      <c r="D526" s="159"/>
      <c r="E526" s="159"/>
      <c r="F526" s="102"/>
      <c r="G526" s="102"/>
      <c r="H526" s="102"/>
    </row>
    <row r="527" spans="4:8">
      <c r="D527" s="159"/>
      <c r="E527" s="159"/>
      <c r="F527" s="102"/>
      <c r="G527" s="102"/>
      <c r="H527" s="102"/>
    </row>
    <row r="528" spans="4:8">
      <c r="D528" s="159"/>
      <c r="E528" s="159"/>
      <c r="F528" s="102"/>
      <c r="G528" s="102"/>
      <c r="H528" s="102"/>
    </row>
    <row r="529" spans="4:8">
      <c r="D529" s="159"/>
      <c r="E529" s="159"/>
      <c r="F529" s="102"/>
      <c r="G529" s="102"/>
      <c r="H529" s="102"/>
    </row>
    <row r="530" spans="4:8">
      <c r="D530" s="159"/>
      <c r="E530" s="159"/>
      <c r="F530" s="102"/>
      <c r="G530" s="102"/>
      <c r="H530" s="102"/>
    </row>
    <row r="531" spans="4:8">
      <c r="D531" s="159"/>
      <c r="E531" s="159"/>
      <c r="F531" s="102"/>
      <c r="G531" s="102"/>
      <c r="H531" s="102"/>
    </row>
    <row r="532" spans="4:8">
      <c r="D532" s="159"/>
      <c r="E532" s="159"/>
      <c r="F532" s="102"/>
      <c r="G532" s="102"/>
      <c r="H532" s="102"/>
    </row>
    <row r="533" spans="4:8">
      <c r="D533" s="159"/>
      <c r="E533" s="159"/>
      <c r="F533" s="102"/>
      <c r="G533" s="102"/>
      <c r="H533" s="102"/>
    </row>
    <row r="534" spans="4:8">
      <c r="D534" s="159"/>
      <c r="E534" s="159"/>
      <c r="F534" s="102"/>
      <c r="G534" s="102"/>
      <c r="H534" s="102"/>
    </row>
    <row r="535" spans="4:8">
      <c r="D535" s="159"/>
      <c r="E535" s="159"/>
      <c r="F535" s="102"/>
      <c r="G535" s="102"/>
      <c r="H535" s="102"/>
    </row>
    <row r="536" spans="4:8">
      <c r="D536" s="159"/>
      <c r="E536" s="159"/>
      <c r="F536" s="102"/>
      <c r="G536" s="102"/>
      <c r="H536" s="102"/>
    </row>
    <row r="537" spans="4:8">
      <c r="D537" s="159"/>
      <c r="E537" s="159"/>
      <c r="F537" s="102"/>
      <c r="G537" s="102"/>
      <c r="H537" s="102"/>
    </row>
    <row r="538" spans="4:8">
      <c r="D538" s="159"/>
      <c r="E538" s="159"/>
      <c r="F538" s="102"/>
      <c r="G538" s="102"/>
      <c r="H538" s="102"/>
    </row>
    <row r="539" spans="4:8">
      <c r="D539" s="159"/>
      <c r="E539" s="159"/>
      <c r="F539" s="102"/>
      <c r="G539" s="102"/>
      <c r="H539" s="102"/>
    </row>
    <row r="540" spans="4:8">
      <c r="D540" s="159"/>
      <c r="E540" s="159"/>
      <c r="F540" s="102"/>
      <c r="G540" s="102"/>
      <c r="H540" s="102"/>
    </row>
    <row r="541" spans="4:8">
      <c r="D541" s="159"/>
      <c r="E541" s="159"/>
      <c r="F541" s="102"/>
      <c r="G541" s="102"/>
      <c r="H541" s="102"/>
    </row>
    <row r="542" spans="4:8">
      <c r="D542" s="159"/>
      <c r="E542" s="159"/>
      <c r="F542" s="102"/>
      <c r="G542" s="102"/>
      <c r="H542" s="102"/>
    </row>
    <row r="543" spans="4:8">
      <c r="D543" s="159"/>
      <c r="E543" s="159"/>
      <c r="F543" s="102"/>
      <c r="G543" s="102"/>
      <c r="H543" s="102"/>
    </row>
    <row r="544" spans="4:8">
      <c r="D544" s="159"/>
      <c r="E544" s="159"/>
      <c r="F544" s="102"/>
      <c r="G544" s="102"/>
      <c r="H544" s="102"/>
    </row>
    <row r="545" spans="4:8">
      <c r="D545" s="159"/>
      <c r="E545" s="159"/>
      <c r="F545" s="102"/>
      <c r="G545" s="102"/>
      <c r="H545" s="102"/>
    </row>
    <row r="546" spans="4:8">
      <c r="D546" s="159"/>
      <c r="E546" s="159"/>
      <c r="F546" s="102"/>
      <c r="G546" s="102"/>
      <c r="H546" s="102"/>
    </row>
    <row r="547" spans="4:8">
      <c r="D547" s="159"/>
      <c r="E547" s="159"/>
      <c r="F547" s="102"/>
      <c r="G547" s="102"/>
      <c r="H547" s="102"/>
    </row>
    <row r="548" spans="4:8">
      <c r="D548" s="159"/>
      <c r="E548" s="159"/>
      <c r="F548" s="102"/>
      <c r="G548" s="102"/>
      <c r="H548" s="102"/>
    </row>
    <row r="549" spans="4:8">
      <c r="D549" s="159"/>
      <c r="E549" s="159"/>
      <c r="F549" s="102"/>
      <c r="G549" s="102"/>
      <c r="H549" s="102"/>
    </row>
    <row r="550" spans="4:8">
      <c r="D550" s="159"/>
      <c r="E550" s="159"/>
      <c r="F550" s="102"/>
      <c r="G550" s="102"/>
      <c r="H550" s="102"/>
    </row>
    <row r="551" spans="4:8">
      <c r="D551" s="159"/>
      <c r="E551" s="159"/>
      <c r="F551" s="102"/>
      <c r="G551" s="102"/>
      <c r="H551" s="102"/>
    </row>
    <row r="552" spans="4:8">
      <c r="D552" s="159"/>
      <c r="E552" s="159"/>
      <c r="F552" s="102"/>
      <c r="G552" s="102"/>
      <c r="H552" s="102"/>
    </row>
    <row r="553" spans="4:8">
      <c r="D553" s="159"/>
      <c r="E553" s="159"/>
      <c r="F553" s="102"/>
      <c r="G553" s="102"/>
      <c r="H553" s="102"/>
    </row>
    <row r="554" spans="4:8">
      <c r="D554" s="159"/>
      <c r="E554" s="159"/>
      <c r="F554" s="102"/>
      <c r="G554" s="102"/>
      <c r="H554" s="102"/>
    </row>
    <row r="555" spans="4:8">
      <c r="D555" s="159"/>
      <c r="E555" s="159"/>
      <c r="F555" s="102"/>
      <c r="G555" s="102"/>
      <c r="H555" s="102"/>
    </row>
    <row r="556" spans="4:8">
      <c r="D556" s="159"/>
      <c r="E556" s="159"/>
      <c r="F556" s="102"/>
      <c r="G556" s="102"/>
      <c r="H556" s="102"/>
    </row>
    <row r="557" spans="4:8">
      <c r="D557" s="159"/>
      <c r="E557" s="159"/>
      <c r="F557" s="102"/>
      <c r="G557" s="102"/>
      <c r="H557" s="102"/>
    </row>
    <row r="558" spans="4:8">
      <c r="D558" s="159"/>
      <c r="E558" s="159"/>
      <c r="F558" s="102"/>
      <c r="G558" s="102"/>
      <c r="H558" s="102"/>
    </row>
    <row r="559" spans="4:8">
      <c r="D559" s="159"/>
      <c r="E559" s="159"/>
      <c r="F559" s="102"/>
      <c r="G559" s="102"/>
      <c r="H559" s="102"/>
    </row>
    <row r="560" spans="4:8">
      <c r="D560" s="159"/>
      <c r="E560" s="159"/>
      <c r="F560" s="102"/>
      <c r="G560" s="102"/>
      <c r="H560" s="102"/>
    </row>
    <row r="561" spans="4:8">
      <c r="D561" s="159"/>
      <c r="E561" s="159"/>
      <c r="F561" s="102"/>
      <c r="G561" s="102"/>
      <c r="H561" s="102"/>
    </row>
    <row r="562" spans="4:8">
      <c r="D562" s="159"/>
      <c r="E562" s="159"/>
      <c r="F562" s="102"/>
      <c r="G562" s="102"/>
      <c r="H562" s="102"/>
    </row>
    <row r="563" spans="4:8">
      <c r="D563" s="159"/>
      <c r="E563" s="159"/>
      <c r="F563" s="102"/>
      <c r="G563" s="102"/>
      <c r="H563" s="102"/>
    </row>
    <row r="564" spans="4:8">
      <c r="D564" s="159"/>
      <c r="E564" s="159"/>
      <c r="F564" s="102"/>
      <c r="G564" s="102"/>
      <c r="H564" s="102"/>
    </row>
    <row r="565" spans="4:8">
      <c r="D565" s="159"/>
      <c r="E565" s="159"/>
      <c r="F565" s="102"/>
      <c r="G565" s="102"/>
      <c r="H565" s="102"/>
    </row>
    <row r="566" spans="4:8">
      <c r="D566" s="159"/>
      <c r="E566" s="159"/>
      <c r="F566" s="102"/>
      <c r="G566" s="102"/>
      <c r="H566" s="102"/>
    </row>
    <row r="567" spans="4:8">
      <c r="D567" s="159"/>
      <c r="E567" s="159"/>
      <c r="F567" s="102"/>
      <c r="G567" s="102"/>
      <c r="H567" s="102"/>
    </row>
    <row r="568" spans="4:8">
      <c r="D568" s="159"/>
      <c r="E568" s="159"/>
      <c r="F568" s="102"/>
      <c r="G568" s="102"/>
      <c r="H568" s="102"/>
    </row>
    <row r="569" spans="4:8">
      <c r="D569" s="159"/>
      <c r="E569" s="159"/>
      <c r="F569" s="102"/>
      <c r="G569" s="102"/>
      <c r="H569" s="102"/>
    </row>
    <row r="570" spans="4:8">
      <c r="D570" s="159"/>
      <c r="E570" s="159"/>
      <c r="F570" s="102"/>
      <c r="G570" s="102"/>
      <c r="H570" s="102"/>
    </row>
    <row r="571" spans="4:8">
      <c r="D571" s="159"/>
      <c r="E571" s="159"/>
      <c r="F571" s="102"/>
      <c r="G571" s="102"/>
      <c r="H571" s="102"/>
    </row>
    <row r="572" spans="4:8">
      <c r="D572" s="159"/>
      <c r="E572" s="159"/>
      <c r="F572" s="102"/>
      <c r="G572" s="102"/>
      <c r="H572" s="102"/>
    </row>
    <row r="573" spans="4:8">
      <c r="D573" s="159"/>
      <c r="E573" s="159"/>
      <c r="F573" s="102"/>
      <c r="G573" s="102"/>
      <c r="H573" s="102"/>
    </row>
    <row r="574" spans="4:8">
      <c r="D574" s="159"/>
      <c r="E574" s="159"/>
      <c r="F574" s="102"/>
      <c r="G574" s="102"/>
      <c r="H574" s="102"/>
    </row>
    <row r="575" spans="4:8">
      <c r="D575" s="159"/>
      <c r="E575" s="159"/>
      <c r="F575" s="102"/>
      <c r="G575" s="102"/>
      <c r="H575" s="102"/>
    </row>
    <row r="576" spans="4:8">
      <c r="D576" s="159"/>
      <c r="E576" s="159"/>
      <c r="F576" s="102"/>
      <c r="G576" s="102"/>
      <c r="H576" s="102"/>
    </row>
    <row r="577" spans="4:8">
      <c r="D577" s="159"/>
      <c r="E577" s="159"/>
      <c r="F577" s="102"/>
      <c r="G577" s="102"/>
      <c r="H577" s="102"/>
    </row>
    <row r="578" spans="4:8">
      <c r="D578" s="159"/>
      <c r="E578" s="159"/>
      <c r="F578" s="102"/>
      <c r="G578" s="102"/>
      <c r="H578" s="102"/>
    </row>
    <row r="579" spans="4:8">
      <c r="D579" s="159"/>
      <c r="E579" s="159"/>
      <c r="F579" s="102"/>
      <c r="G579" s="102"/>
      <c r="H579" s="102"/>
    </row>
    <row r="580" spans="4:8">
      <c r="D580" s="159"/>
      <c r="E580" s="159"/>
      <c r="F580" s="102"/>
      <c r="G580" s="102"/>
      <c r="H580" s="102"/>
    </row>
    <row r="581" spans="4:8">
      <c r="D581" s="159"/>
      <c r="E581" s="159"/>
      <c r="F581" s="102"/>
      <c r="G581" s="102"/>
      <c r="H581" s="102"/>
    </row>
    <row r="582" spans="4:8">
      <c r="D582" s="159"/>
      <c r="E582" s="159"/>
      <c r="F582" s="102"/>
      <c r="G582" s="102"/>
      <c r="H582" s="102"/>
    </row>
    <row r="583" spans="4:8">
      <c r="D583" s="159"/>
      <c r="E583" s="159"/>
      <c r="F583" s="102"/>
      <c r="G583" s="102"/>
      <c r="H583" s="102"/>
    </row>
    <row r="584" spans="4:8">
      <c r="D584" s="159"/>
      <c r="E584" s="159"/>
      <c r="F584" s="102"/>
      <c r="G584" s="102"/>
      <c r="H584" s="102"/>
    </row>
    <row r="585" spans="4:8">
      <c r="D585" s="159"/>
      <c r="E585" s="159"/>
      <c r="F585" s="102"/>
      <c r="G585" s="102"/>
      <c r="H585" s="102"/>
    </row>
    <row r="586" spans="4:8">
      <c r="D586" s="159"/>
      <c r="E586" s="159"/>
      <c r="F586" s="102"/>
      <c r="G586" s="102"/>
      <c r="H586" s="102"/>
    </row>
    <row r="587" spans="4:8">
      <c r="D587" s="159"/>
      <c r="E587" s="159"/>
      <c r="F587" s="102"/>
      <c r="G587" s="102"/>
      <c r="H587" s="102"/>
    </row>
    <row r="588" spans="4:8">
      <c r="D588" s="159"/>
      <c r="E588" s="159"/>
      <c r="F588" s="102"/>
      <c r="G588" s="102"/>
      <c r="H588" s="102"/>
    </row>
    <row r="589" spans="4:8">
      <c r="D589" s="159"/>
      <c r="E589" s="159"/>
      <c r="F589" s="102"/>
      <c r="G589" s="102"/>
      <c r="H589" s="102"/>
    </row>
    <row r="590" spans="4:8">
      <c r="D590" s="159"/>
      <c r="E590" s="159"/>
      <c r="F590" s="102"/>
      <c r="G590" s="102"/>
      <c r="H590" s="102"/>
    </row>
    <row r="591" spans="4:8">
      <c r="D591" s="159"/>
      <c r="E591" s="159"/>
      <c r="F591" s="102"/>
      <c r="G591" s="102"/>
      <c r="H591" s="102"/>
    </row>
    <row r="592" spans="4:8">
      <c r="D592" s="159"/>
      <c r="E592" s="159"/>
      <c r="F592" s="102"/>
      <c r="G592" s="102"/>
      <c r="H592" s="102"/>
    </row>
    <row r="593" spans="4:8">
      <c r="D593" s="159"/>
      <c r="E593" s="159"/>
      <c r="F593" s="102"/>
      <c r="G593" s="102"/>
      <c r="H593" s="102"/>
    </row>
    <row r="594" spans="4:8">
      <c r="D594" s="159"/>
      <c r="E594" s="159"/>
      <c r="F594" s="102"/>
      <c r="G594" s="102"/>
      <c r="H594" s="102"/>
    </row>
    <row r="595" spans="4:8">
      <c r="D595" s="159"/>
      <c r="E595" s="159"/>
      <c r="F595" s="102"/>
      <c r="G595" s="102"/>
      <c r="H595" s="102"/>
    </row>
    <row r="596" spans="4:8">
      <c r="D596" s="159"/>
      <c r="E596" s="159"/>
      <c r="F596" s="102"/>
      <c r="G596" s="102"/>
      <c r="H596" s="102"/>
    </row>
    <row r="597" spans="4:8">
      <c r="D597" s="159"/>
      <c r="E597" s="159"/>
      <c r="F597" s="102"/>
      <c r="G597" s="102"/>
      <c r="H597" s="102"/>
    </row>
    <row r="598" spans="4:8">
      <c r="D598" s="159"/>
      <c r="E598" s="159"/>
      <c r="F598" s="102"/>
      <c r="G598" s="102"/>
      <c r="H598" s="102"/>
    </row>
    <row r="599" spans="4:8">
      <c r="D599" s="159"/>
      <c r="E599" s="159"/>
      <c r="F599" s="102"/>
      <c r="G599" s="102"/>
      <c r="H599" s="102"/>
    </row>
    <row r="600" spans="4:8">
      <c r="D600" s="159"/>
      <c r="E600" s="159"/>
      <c r="F600" s="102"/>
      <c r="G600" s="102"/>
      <c r="H600" s="102"/>
    </row>
    <row r="601" spans="4:8">
      <c r="D601" s="159"/>
      <c r="E601" s="159"/>
      <c r="F601" s="102"/>
      <c r="G601" s="102"/>
      <c r="H601" s="102"/>
    </row>
    <row r="602" spans="4:8">
      <c r="D602" s="159"/>
      <c r="E602" s="159"/>
      <c r="F602" s="102"/>
      <c r="G602" s="102"/>
      <c r="H602" s="102"/>
    </row>
    <row r="603" spans="4:8">
      <c r="D603" s="159"/>
      <c r="E603" s="159"/>
      <c r="F603" s="102"/>
      <c r="G603" s="102"/>
      <c r="H603" s="102"/>
    </row>
    <row r="604" spans="4:8">
      <c r="D604" s="159"/>
      <c r="E604" s="159"/>
      <c r="F604" s="102"/>
      <c r="G604" s="102"/>
      <c r="H604" s="102"/>
    </row>
    <row r="605" spans="4:8">
      <c r="D605" s="159"/>
      <c r="E605" s="159"/>
      <c r="F605" s="102"/>
      <c r="G605" s="102"/>
      <c r="H605" s="102"/>
    </row>
    <row r="606" spans="4:8">
      <c r="D606" s="159"/>
      <c r="E606" s="159"/>
      <c r="F606" s="102"/>
      <c r="G606" s="102"/>
      <c r="H606" s="102"/>
    </row>
    <row r="607" spans="4:8">
      <c r="D607" s="159"/>
      <c r="E607" s="159"/>
      <c r="F607" s="102"/>
      <c r="G607" s="102"/>
      <c r="H607" s="102"/>
    </row>
    <row r="608" spans="4:8">
      <c r="D608" s="159"/>
      <c r="E608" s="159"/>
      <c r="F608" s="102"/>
      <c r="G608" s="102"/>
      <c r="H608" s="102"/>
    </row>
    <row r="609" spans="4:8">
      <c r="D609" s="159"/>
      <c r="E609" s="159"/>
      <c r="F609" s="102"/>
      <c r="G609" s="102"/>
      <c r="H609" s="102"/>
    </row>
    <row r="610" spans="4:8">
      <c r="D610" s="159"/>
      <c r="E610" s="159"/>
      <c r="F610" s="102"/>
      <c r="G610" s="102"/>
      <c r="H610" s="102"/>
    </row>
    <row r="611" spans="4:8">
      <c r="D611" s="159"/>
      <c r="E611" s="159"/>
      <c r="F611" s="102"/>
      <c r="G611" s="102"/>
      <c r="H611" s="102"/>
    </row>
    <row r="612" spans="4:8">
      <c r="D612" s="159"/>
      <c r="E612" s="159"/>
      <c r="F612" s="102"/>
      <c r="G612" s="102"/>
      <c r="H612" s="102"/>
    </row>
    <row r="613" spans="4:8">
      <c r="D613" s="159"/>
      <c r="E613" s="159"/>
      <c r="F613" s="102"/>
      <c r="G613" s="102"/>
      <c r="H613" s="102"/>
    </row>
    <row r="614" spans="4:8">
      <c r="D614" s="159"/>
      <c r="E614" s="159"/>
      <c r="F614" s="102"/>
      <c r="G614" s="102"/>
      <c r="H614" s="102"/>
    </row>
    <row r="615" spans="4:8">
      <c r="D615" s="159"/>
      <c r="E615" s="159"/>
      <c r="F615" s="102"/>
      <c r="G615" s="102"/>
      <c r="H615" s="102"/>
    </row>
    <row r="616" spans="4:8">
      <c r="D616" s="159"/>
      <c r="E616" s="159"/>
      <c r="F616" s="102"/>
      <c r="G616" s="102"/>
      <c r="H616" s="102"/>
    </row>
    <row r="617" spans="4:8">
      <c r="D617" s="159"/>
      <c r="E617" s="159"/>
      <c r="F617" s="102"/>
      <c r="G617" s="102"/>
      <c r="H617" s="102"/>
    </row>
    <row r="618" spans="4:8">
      <c r="D618" s="159"/>
      <c r="E618" s="159"/>
      <c r="F618" s="102"/>
      <c r="G618" s="102"/>
      <c r="H618" s="102"/>
    </row>
    <row r="619" spans="4:8">
      <c r="D619" s="159"/>
      <c r="E619" s="159"/>
      <c r="F619" s="102"/>
      <c r="G619" s="102"/>
      <c r="H619" s="102"/>
    </row>
    <row r="620" spans="4:8">
      <c r="D620" s="159"/>
      <c r="E620" s="159"/>
      <c r="F620" s="102"/>
      <c r="G620" s="102"/>
      <c r="H620" s="102"/>
    </row>
    <row r="621" spans="4:8">
      <c r="D621" s="159"/>
      <c r="E621" s="159"/>
      <c r="F621" s="102"/>
      <c r="G621" s="102"/>
      <c r="H621" s="102"/>
    </row>
    <row r="622" spans="4:8">
      <c r="D622" s="159"/>
      <c r="E622" s="159"/>
      <c r="F622" s="102"/>
      <c r="G622" s="102"/>
      <c r="H622" s="102"/>
    </row>
    <row r="623" spans="4:8">
      <c r="D623" s="159"/>
      <c r="E623" s="159"/>
      <c r="F623" s="102"/>
      <c r="G623" s="102"/>
      <c r="H623" s="102"/>
    </row>
    <row r="624" spans="4:8">
      <c r="D624" s="159"/>
      <c r="E624" s="159"/>
      <c r="F624" s="102"/>
      <c r="G624" s="102"/>
      <c r="H624" s="102"/>
    </row>
    <row r="625" spans="4:8">
      <c r="D625" s="159"/>
      <c r="E625" s="159"/>
      <c r="F625" s="102"/>
      <c r="G625" s="102"/>
      <c r="H625" s="102"/>
    </row>
    <row r="626" spans="4:8">
      <c r="D626" s="159"/>
      <c r="E626" s="159"/>
      <c r="F626" s="102"/>
      <c r="G626" s="102"/>
      <c r="H626" s="102"/>
    </row>
    <row r="627" spans="4:8">
      <c r="D627" s="159"/>
      <c r="E627" s="159"/>
      <c r="F627" s="102"/>
      <c r="G627" s="102"/>
      <c r="H627" s="102"/>
    </row>
    <row r="628" spans="4:8">
      <c r="D628" s="159"/>
      <c r="E628" s="159"/>
      <c r="F628" s="102"/>
      <c r="G628" s="102"/>
      <c r="H628" s="102"/>
    </row>
    <row r="629" spans="4:8">
      <c r="D629" s="159"/>
      <c r="E629" s="159"/>
      <c r="F629" s="102"/>
      <c r="G629" s="102"/>
      <c r="H629" s="102"/>
    </row>
    <row r="630" spans="4:8">
      <c r="D630" s="159"/>
      <c r="E630" s="159"/>
      <c r="F630" s="102"/>
      <c r="G630" s="102"/>
      <c r="H630" s="102"/>
    </row>
    <row r="631" spans="4:8">
      <c r="D631" s="159"/>
      <c r="E631" s="159"/>
      <c r="F631" s="102"/>
      <c r="G631" s="102"/>
      <c r="H631" s="102"/>
    </row>
    <row r="632" spans="4:8">
      <c r="D632" s="159"/>
      <c r="E632" s="159"/>
      <c r="F632" s="102"/>
      <c r="G632" s="102"/>
      <c r="H632" s="102"/>
    </row>
    <row r="633" spans="4:8">
      <c r="D633" s="159"/>
      <c r="E633" s="159"/>
      <c r="F633" s="102"/>
      <c r="G633" s="102"/>
      <c r="H633" s="102"/>
    </row>
    <row r="634" spans="4:8">
      <c r="D634" s="159"/>
      <c r="E634" s="159"/>
      <c r="F634" s="102"/>
      <c r="G634" s="102"/>
      <c r="H634" s="102"/>
    </row>
    <row r="635" spans="4:8">
      <c r="D635" s="159"/>
      <c r="E635" s="159"/>
      <c r="F635" s="102"/>
      <c r="G635" s="102"/>
      <c r="H635" s="102"/>
    </row>
    <row r="636" spans="4:8">
      <c r="D636" s="159"/>
      <c r="E636" s="159"/>
      <c r="F636" s="102"/>
      <c r="G636" s="102"/>
      <c r="H636" s="102"/>
    </row>
    <row r="637" spans="4:8">
      <c r="D637" s="159"/>
      <c r="E637" s="159"/>
      <c r="F637" s="102"/>
      <c r="G637" s="102"/>
      <c r="H637" s="102"/>
    </row>
    <row r="638" spans="4:8">
      <c r="D638" s="159"/>
      <c r="E638" s="159"/>
      <c r="F638" s="102"/>
      <c r="G638" s="102"/>
      <c r="H638" s="102"/>
    </row>
    <row r="639" spans="4:8">
      <c r="D639" s="159"/>
      <c r="E639" s="159"/>
      <c r="F639" s="102"/>
      <c r="G639" s="102"/>
      <c r="H639" s="102"/>
    </row>
    <row r="640" spans="4:8">
      <c r="D640" s="159"/>
      <c r="E640" s="159"/>
      <c r="F640" s="102"/>
      <c r="G640" s="102"/>
      <c r="H640" s="102"/>
    </row>
    <row r="641" spans="4:8">
      <c r="D641" s="159"/>
      <c r="E641" s="159"/>
      <c r="F641" s="102"/>
      <c r="G641" s="102"/>
      <c r="H641" s="102"/>
    </row>
    <row r="642" spans="4:8">
      <c r="D642" s="159"/>
      <c r="E642" s="159"/>
      <c r="F642" s="102"/>
      <c r="G642" s="102"/>
      <c r="H642" s="102"/>
    </row>
    <row r="643" spans="4:8">
      <c r="D643" s="159"/>
      <c r="E643" s="159"/>
      <c r="F643" s="102"/>
      <c r="G643" s="102"/>
      <c r="H643" s="102"/>
    </row>
    <row r="644" spans="4:8">
      <c r="D644" s="159"/>
      <c r="E644" s="159"/>
      <c r="F644" s="102"/>
      <c r="G644" s="102"/>
      <c r="H644" s="102"/>
    </row>
    <row r="645" spans="4:8">
      <c r="D645" s="159"/>
      <c r="E645" s="159"/>
      <c r="F645" s="102"/>
      <c r="G645" s="102"/>
      <c r="H645" s="102"/>
    </row>
    <row r="646" spans="4:8">
      <c r="D646" s="159"/>
      <c r="E646" s="159"/>
      <c r="F646" s="102"/>
      <c r="G646" s="102"/>
      <c r="H646" s="102"/>
    </row>
    <row r="647" spans="4:8">
      <c r="D647" s="159"/>
      <c r="E647" s="159"/>
      <c r="F647" s="102"/>
      <c r="G647" s="102"/>
      <c r="H647" s="102"/>
    </row>
    <row r="648" spans="4:8">
      <c r="D648" s="159"/>
      <c r="E648" s="159"/>
      <c r="F648" s="102"/>
      <c r="G648" s="102"/>
      <c r="H648" s="102"/>
    </row>
    <row r="649" spans="4:8">
      <c r="D649" s="159"/>
      <c r="E649" s="159"/>
      <c r="F649" s="102"/>
      <c r="G649" s="102"/>
      <c r="H649" s="102"/>
    </row>
    <row r="650" spans="4:8">
      <c r="D650" s="159"/>
      <c r="E650" s="159"/>
      <c r="F650" s="102"/>
      <c r="G650" s="102"/>
      <c r="H650" s="102"/>
    </row>
    <row r="651" spans="4:8">
      <c r="D651" s="159"/>
      <c r="E651" s="159"/>
      <c r="F651" s="102"/>
      <c r="G651" s="102"/>
      <c r="H651" s="102"/>
    </row>
    <row r="652" spans="4:8">
      <c r="D652" s="159"/>
      <c r="E652" s="159"/>
      <c r="F652" s="102"/>
      <c r="G652" s="102"/>
      <c r="H652" s="102"/>
    </row>
    <row r="653" spans="4:8">
      <c r="D653" s="159"/>
      <c r="E653" s="159"/>
      <c r="F653" s="102"/>
      <c r="G653" s="102"/>
      <c r="H653" s="102"/>
    </row>
    <row r="654" spans="4:8">
      <c r="D654" s="159"/>
      <c r="E654" s="159"/>
      <c r="F654" s="102"/>
      <c r="G654" s="102"/>
      <c r="H654" s="102"/>
    </row>
    <row r="655" spans="4:8">
      <c r="D655" s="159"/>
      <c r="E655" s="159"/>
      <c r="F655" s="102"/>
      <c r="G655" s="102"/>
      <c r="H655" s="102"/>
    </row>
    <row r="656" spans="4:8">
      <c r="D656" s="159"/>
      <c r="E656" s="159"/>
      <c r="F656" s="102"/>
      <c r="G656" s="102"/>
      <c r="H656" s="102"/>
    </row>
    <row r="657" spans="4:8">
      <c r="D657" s="159"/>
      <c r="E657" s="159"/>
      <c r="F657" s="102"/>
      <c r="G657" s="102"/>
      <c r="H657" s="102"/>
    </row>
    <row r="658" spans="4:8">
      <c r="D658" s="159"/>
      <c r="E658" s="159"/>
      <c r="F658" s="102"/>
      <c r="G658" s="102"/>
      <c r="H658" s="102"/>
    </row>
    <row r="659" spans="4:8">
      <c r="D659" s="159"/>
      <c r="E659" s="159"/>
      <c r="F659" s="102"/>
      <c r="G659" s="102"/>
      <c r="H659" s="102"/>
    </row>
    <row r="660" spans="4:8">
      <c r="D660" s="159"/>
      <c r="E660" s="159"/>
      <c r="F660" s="102"/>
      <c r="G660" s="102"/>
      <c r="H660" s="102"/>
    </row>
    <row r="661" spans="4:8">
      <c r="D661" s="159"/>
      <c r="E661" s="159"/>
      <c r="F661" s="102"/>
      <c r="G661" s="102"/>
      <c r="H661" s="102"/>
    </row>
    <row r="662" spans="4:8">
      <c r="D662" s="159"/>
      <c r="E662" s="159"/>
      <c r="F662" s="102"/>
      <c r="G662" s="102"/>
      <c r="H662" s="102"/>
    </row>
    <row r="663" spans="4:8">
      <c r="D663" s="159"/>
      <c r="E663" s="159"/>
      <c r="F663" s="102"/>
      <c r="G663" s="102"/>
      <c r="H663" s="102"/>
    </row>
    <row r="664" spans="4:8">
      <c r="D664" s="159"/>
      <c r="E664" s="159"/>
      <c r="F664" s="102"/>
      <c r="G664" s="102"/>
      <c r="H664" s="102"/>
    </row>
    <row r="665" spans="4:8">
      <c r="D665" s="159"/>
      <c r="E665" s="159"/>
      <c r="F665" s="102"/>
      <c r="G665" s="102"/>
      <c r="H665" s="102"/>
    </row>
    <row r="666" spans="4:8">
      <c r="D666" s="159"/>
      <c r="E666" s="159"/>
      <c r="F666" s="102"/>
      <c r="G666" s="102"/>
      <c r="H666" s="102"/>
    </row>
    <row r="667" spans="4:8">
      <c r="D667" s="159"/>
      <c r="E667" s="159"/>
      <c r="F667" s="102"/>
      <c r="G667" s="102"/>
      <c r="H667" s="102"/>
    </row>
    <row r="668" spans="4:8">
      <c r="D668" s="159"/>
      <c r="E668" s="159"/>
      <c r="F668" s="102"/>
      <c r="G668" s="102"/>
      <c r="H668" s="102"/>
    </row>
    <row r="669" spans="4:8">
      <c r="D669" s="159"/>
      <c r="E669" s="159"/>
      <c r="F669" s="102"/>
      <c r="G669" s="102"/>
      <c r="H669" s="102"/>
    </row>
    <row r="670" spans="4:8">
      <c r="D670" s="159"/>
      <c r="E670" s="159"/>
      <c r="F670" s="102"/>
      <c r="G670" s="102"/>
      <c r="H670" s="102"/>
    </row>
    <row r="671" spans="4:8">
      <c r="D671" s="159"/>
      <c r="E671" s="159"/>
      <c r="F671" s="102"/>
      <c r="G671" s="102"/>
      <c r="H671" s="102"/>
    </row>
    <row r="672" spans="4:8">
      <c r="D672" s="159"/>
      <c r="E672" s="159"/>
      <c r="F672" s="102"/>
      <c r="G672" s="102"/>
      <c r="H672" s="102"/>
    </row>
    <row r="673" spans="4:8">
      <c r="D673" s="159"/>
      <c r="E673" s="159"/>
      <c r="F673" s="102"/>
      <c r="G673" s="102"/>
      <c r="H673" s="102"/>
    </row>
    <row r="674" spans="4:8">
      <c r="D674" s="159"/>
      <c r="E674" s="159"/>
      <c r="F674" s="102"/>
      <c r="G674" s="102"/>
      <c r="H674" s="102"/>
    </row>
    <row r="675" spans="4:8">
      <c r="D675" s="159"/>
      <c r="E675" s="159"/>
      <c r="F675" s="102"/>
      <c r="G675" s="102"/>
      <c r="H675" s="102"/>
    </row>
    <row r="676" spans="4:8">
      <c r="D676" s="159"/>
      <c r="E676" s="159"/>
      <c r="F676" s="102"/>
      <c r="G676" s="102"/>
      <c r="H676" s="102"/>
    </row>
    <row r="677" spans="4:8">
      <c r="D677" s="159"/>
      <c r="E677" s="159"/>
      <c r="F677" s="102"/>
      <c r="G677" s="102"/>
      <c r="H677" s="102"/>
    </row>
    <row r="678" spans="4:8">
      <c r="D678" s="159"/>
      <c r="E678" s="159"/>
      <c r="F678" s="102"/>
      <c r="G678" s="102"/>
      <c r="H678" s="102"/>
    </row>
    <row r="679" spans="4:8">
      <c r="D679" s="159"/>
      <c r="E679" s="159"/>
      <c r="F679" s="102"/>
      <c r="G679" s="102"/>
      <c r="H679" s="102"/>
    </row>
    <row r="680" spans="4:8">
      <c r="D680" s="159"/>
      <c r="E680" s="159"/>
      <c r="F680" s="102"/>
      <c r="G680" s="102"/>
      <c r="H680" s="102"/>
    </row>
    <row r="681" spans="4:8">
      <c r="D681" s="159"/>
      <c r="E681" s="159"/>
      <c r="F681" s="102"/>
      <c r="G681" s="102"/>
      <c r="H681" s="102"/>
    </row>
    <row r="682" spans="4:8">
      <c r="D682" s="159"/>
      <c r="E682" s="159"/>
      <c r="F682" s="102"/>
      <c r="G682" s="102"/>
      <c r="H682" s="102"/>
    </row>
    <row r="683" spans="4:8">
      <c r="D683" s="159"/>
      <c r="E683" s="159"/>
      <c r="F683" s="102"/>
      <c r="G683" s="102"/>
      <c r="H683" s="102"/>
    </row>
    <row r="684" spans="4:8">
      <c r="D684" s="159"/>
      <c r="E684" s="159"/>
      <c r="F684" s="102"/>
      <c r="G684" s="102"/>
      <c r="H684" s="102"/>
    </row>
    <row r="685" spans="4:8">
      <c r="D685" s="159"/>
      <c r="E685" s="159"/>
      <c r="F685" s="102"/>
      <c r="G685" s="102"/>
      <c r="H685" s="102"/>
    </row>
    <row r="686" spans="4:8">
      <c r="D686" s="159"/>
      <c r="E686" s="159"/>
      <c r="F686" s="102"/>
      <c r="G686" s="102"/>
      <c r="H686" s="102"/>
    </row>
    <row r="687" spans="4:8">
      <c r="D687" s="159"/>
      <c r="E687" s="159"/>
      <c r="F687" s="102"/>
      <c r="G687" s="102"/>
      <c r="H687" s="102"/>
    </row>
    <row r="688" spans="4:8">
      <c r="D688" s="159"/>
      <c r="E688" s="159"/>
      <c r="F688" s="102"/>
      <c r="G688" s="102"/>
      <c r="H688" s="102"/>
    </row>
    <row r="689" spans="4:8">
      <c r="D689" s="159"/>
      <c r="E689" s="159"/>
      <c r="F689" s="102"/>
      <c r="G689" s="102"/>
      <c r="H689" s="102"/>
    </row>
    <row r="690" spans="4:8">
      <c r="D690" s="159"/>
      <c r="E690" s="159"/>
      <c r="F690" s="102"/>
      <c r="G690" s="102"/>
      <c r="H690" s="102"/>
    </row>
    <row r="691" spans="4:8">
      <c r="D691" s="159"/>
      <c r="E691" s="159"/>
      <c r="F691" s="102"/>
      <c r="G691" s="102"/>
      <c r="H691" s="102"/>
    </row>
    <row r="692" spans="4:8">
      <c r="D692" s="159"/>
      <c r="E692" s="159"/>
      <c r="F692" s="102"/>
      <c r="G692" s="102"/>
      <c r="H692" s="102"/>
    </row>
    <row r="693" spans="4:8">
      <c r="D693" s="159"/>
      <c r="E693" s="159"/>
      <c r="F693" s="102"/>
      <c r="G693" s="102"/>
      <c r="H693" s="102"/>
    </row>
    <row r="694" spans="4:8">
      <c r="D694" s="159"/>
      <c r="E694" s="159"/>
      <c r="F694" s="102"/>
      <c r="G694" s="102"/>
      <c r="H694" s="102"/>
    </row>
    <row r="695" spans="4:8">
      <c r="D695" s="159"/>
      <c r="E695" s="159"/>
      <c r="F695" s="102"/>
      <c r="G695" s="102"/>
      <c r="H695" s="102"/>
    </row>
    <row r="696" spans="4:8">
      <c r="D696" s="159"/>
      <c r="E696" s="159"/>
      <c r="F696" s="102"/>
      <c r="G696" s="102"/>
      <c r="H696" s="102"/>
    </row>
    <row r="697" spans="4:8">
      <c r="D697" s="159"/>
      <c r="E697" s="159"/>
      <c r="F697" s="102"/>
      <c r="G697" s="102"/>
      <c r="H697" s="102"/>
    </row>
    <row r="698" spans="4:8">
      <c r="D698" s="159"/>
      <c r="E698" s="159"/>
      <c r="F698" s="102"/>
      <c r="G698" s="102"/>
      <c r="H698" s="102"/>
    </row>
    <row r="699" spans="4:8">
      <c r="D699" s="159"/>
      <c r="E699" s="159"/>
      <c r="F699" s="102"/>
      <c r="G699" s="102"/>
      <c r="H699" s="102"/>
    </row>
    <row r="700" spans="4:8">
      <c r="D700" s="159"/>
      <c r="E700" s="159"/>
      <c r="F700" s="102"/>
      <c r="G700" s="102"/>
      <c r="H700" s="102"/>
    </row>
    <row r="701" spans="4:8">
      <c r="D701" s="159"/>
      <c r="E701" s="159"/>
      <c r="F701" s="102"/>
      <c r="G701" s="102"/>
      <c r="H701" s="102"/>
    </row>
    <row r="702" spans="4:8">
      <c r="D702" s="159"/>
      <c r="E702" s="159"/>
      <c r="F702" s="102"/>
      <c r="G702" s="102"/>
      <c r="H702" s="102"/>
    </row>
    <row r="703" spans="4:8">
      <c r="D703" s="159"/>
      <c r="E703" s="159"/>
      <c r="F703" s="102"/>
      <c r="G703" s="102"/>
      <c r="H703" s="102"/>
    </row>
    <row r="704" spans="4:8">
      <c r="D704" s="159"/>
      <c r="E704" s="159"/>
      <c r="F704" s="102"/>
      <c r="G704" s="102"/>
      <c r="H704" s="102"/>
    </row>
    <row r="705" spans="4:8">
      <c r="D705" s="159"/>
      <c r="E705" s="159"/>
      <c r="F705" s="102"/>
      <c r="G705" s="102"/>
      <c r="H705" s="102"/>
    </row>
    <row r="706" spans="4:8">
      <c r="D706" s="159"/>
      <c r="E706" s="159"/>
      <c r="F706" s="102"/>
      <c r="G706" s="102"/>
      <c r="H706" s="102"/>
    </row>
    <row r="707" spans="4:8">
      <c r="D707" s="159"/>
      <c r="E707" s="159"/>
      <c r="F707" s="102"/>
      <c r="G707" s="102"/>
      <c r="H707" s="102"/>
    </row>
    <row r="708" spans="4:8">
      <c r="D708" s="159"/>
      <c r="E708" s="159"/>
      <c r="F708" s="102"/>
      <c r="G708" s="102"/>
      <c r="H708" s="102"/>
    </row>
    <row r="709" spans="4:8">
      <c r="D709" s="159"/>
      <c r="E709" s="159"/>
      <c r="F709" s="102"/>
      <c r="G709" s="102"/>
      <c r="H709" s="102"/>
    </row>
    <row r="710" spans="4:8">
      <c r="D710" s="159"/>
      <c r="E710" s="159"/>
      <c r="F710" s="102"/>
      <c r="G710" s="102"/>
      <c r="H710" s="102"/>
    </row>
    <row r="711" spans="4:8">
      <c r="D711" s="159"/>
      <c r="E711" s="159"/>
      <c r="F711" s="102"/>
      <c r="G711" s="102"/>
      <c r="H711" s="102"/>
    </row>
    <row r="712" spans="4:8">
      <c r="D712" s="159"/>
      <c r="E712" s="159"/>
      <c r="F712" s="102"/>
      <c r="G712" s="102"/>
      <c r="H712" s="102"/>
    </row>
    <row r="713" spans="4:8">
      <c r="D713" s="159"/>
      <c r="E713" s="159"/>
      <c r="F713" s="102"/>
      <c r="G713" s="102"/>
      <c r="H713" s="102"/>
    </row>
    <row r="714" spans="4:8">
      <c r="D714" s="159"/>
      <c r="E714" s="159"/>
      <c r="F714" s="102"/>
      <c r="G714" s="102"/>
      <c r="H714" s="102"/>
    </row>
    <row r="715" spans="4:8">
      <c r="D715" s="159"/>
      <c r="E715" s="159"/>
      <c r="F715" s="102"/>
      <c r="G715" s="102"/>
      <c r="H715" s="102"/>
    </row>
    <row r="716" spans="4:8">
      <c r="D716" s="159"/>
      <c r="E716" s="159"/>
      <c r="F716" s="102"/>
      <c r="G716" s="102"/>
      <c r="H716" s="102"/>
    </row>
    <row r="717" spans="4:8">
      <c r="D717" s="159"/>
      <c r="E717" s="159"/>
      <c r="F717" s="102"/>
      <c r="G717" s="102"/>
      <c r="H717" s="102"/>
    </row>
    <row r="718" spans="4:8">
      <c r="D718" s="159"/>
      <c r="E718" s="159"/>
      <c r="F718" s="102"/>
      <c r="G718" s="102"/>
      <c r="H718" s="102"/>
    </row>
    <row r="719" spans="4:8">
      <c r="D719" s="159"/>
      <c r="E719" s="159"/>
      <c r="F719" s="102"/>
      <c r="G719" s="102"/>
      <c r="H719" s="102"/>
    </row>
    <row r="720" spans="4:8">
      <c r="D720" s="159"/>
      <c r="E720" s="159"/>
      <c r="F720" s="102"/>
      <c r="G720" s="102"/>
      <c r="H720" s="102"/>
    </row>
    <row r="721" spans="4:8">
      <c r="D721" s="159"/>
      <c r="E721" s="159"/>
      <c r="F721" s="102"/>
      <c r="G721" s="102"/>
      <c r="H721" s="102"/>
    </row>
    <row r="722" spans="4:8">
      <c r="D722" s="159"/>
      <c r="E722" s="159"/>
      <c r="F722" s="102"/>
      <c r="G722" s="102"/>
      <c r="H722" s="102"/>
    </row>
    <row r="723" spans="4:8">
      <c r="D723" s="159"/>
      <c r="E723" s="159"/>
      <c r="F723" s="102"/>
      <c r="G723" s="102"/>
      <c r="H723" s="102"/>
    </row>
    <row r="724" spans="4:8">
      <c r="D724" s="159"/>
      <c r="E724" s="159"/>
      <c r="F724" s="102"/>
      <c r="G724" s="102"/>
      <c r="H724" s="102"/>
    </row>
    <row r="725" spans="4:8">
      <c r="D725" s="159"/>
      <c r="E725" s="159"/>
      <c r="F725" s="102"/>
      <c r="G725" s="102"/>
      <c r="H725" s="102"/>
    </row>
    <row r="726" spans="4:8">
      <c r="D726" s="159"/>
      <c r="E726" s="159"/>
      <c r="F726" s="102"/>
      <c r="G726" s="102"/>
      <c r="H726" s="102"/>
    </row>
    <row r="727" spans="4:8">
      <c r="D727" s="159"/>
      <c r="E727" s="159"/>
      <c r="F727" s="102"/>
      <c r="G727" s="102"/>
      <c r="H727" s="102"/>
    </row>
    <row r="728" spans="4:8">
      <c r="D728" s="159"/>
      <c r="E728" s="159"/>
      <c r="F728" s="102"/>
      <c r="G728" s="102"/>
      <c r="H728" s="102"/>
    </row>
    <row r="729" spans="4:8">
      <c r="D729" s="159"/>
      <c r="E729" s="159"/>
      <c r="F729" s="102"/>
      <c r="G729" s="102"/>
      <c r="H729" s="102"/>
    </row>
    <row r="730" spans="4:8">
      <c r="D730" s="159"/>
      <c r="E730" s="159"/>
      <c r="F730" s="102"/>
      <c r="G730" s="102"/>
      <c r="H730" s="102"/>
    </row>
    <row r="731" spans="4:8">
      <c r="D731" s="159"/>
      <c r="E731" s="159"/>
      <c r="F731" s="102"/>
      <c r="G731" s="102"/>
      <c r="H731" s="102"/>
    </row>
    <row r="732" spans="4:8">
      <c r="D732" s="159"/>
      <c r="E732" s="159"/>
      <c r="F732" s="102"/>
      <c r="G732" s="102"/>
      <c r="H732" s="102"/>
    </row>
    <row r="733" spans="4:8">
      <c r="D733" s="159"/>
      <c r="E733" s="159"/>
      <c r="F733" s="102"/>
      <c r="G733" s="102"/>
      <c r="H733" s="102"/>
    </row>
    <row r="734" spans="4:8">
      <c r="D734" s="159"/>
      <c r="E734" s="159"/>
      <c r="F734" s="102"/>
      <c r="G734" s="102"/>
      <c r="H734" s="102"/>
    </row>
    <row r="735" spans="4:8">
      <c r="D735" s="159"/>
      <c r="E735" s="159"/>
      <c r="F735" s="102"/>
      <c r="G735" s="102"/>
      <c r="H735" s="102"/>
    </row>
    <row r="736" spans="4:8">
      <c r="D736" s="159"/>
      <c r="E736" s="159"/>
      <c r="F736" s="102"/>
      <c r="G736" s="102"/>
      <c r="H736" s="102"/>
    </row>
    <row r="737" spans="4:8">
      <c r="D737" s="159"/>
      <c r="E737" s="159"/>
      <c r="F737" s="102"/>
      <c r="G737" s="102"/>
      <c r="H737" s="102"/>
    </row>
    <row r="738" spans="4:8">
      <c r="D738" s="159"/>
      <c r="E738" s="159"/>
      <c r="F738" s="102"/>
      <c r="G738" s="102"/>
      <c r="H738" s="102"/>
    </row>
    <row r="739" spans="4:8">
      <c r="D739" s="159"/>
      <c r="E739" s="159"/>
      <c r="F739" s="102"/>
      <c r="G739" s="102"/>
      <c r="H739" s="102"/>
    </row>
    <row r="740" spans="4:8">
      <c r="D740" s="159"/>
      <c r="E740" s="159"/>
      <c r="F740" s="102"/>
      <c r="G740" s="102"/>
      <c r="H740" s="102"/>
    </row>
    <row r="741" spans="4:8">
      <c r="D741" s="159"/>
      <c r="E741" s="159"/>
      <c r="F741" s="102"/>
      <c r="G741" s="102"/>
      <c r="H741" s="102"/>
    </row>
    <row r="742" spans="4:8">
      <c r="D742" s="159"/>
      <c r="E742" s="159"/>
      <c r="F742" s="102"/>
      <c r="G742" s="102"/>
      <c r="H742" s="102"/>
    </row>
    <row r="743" spans="4:8">
      <c r="D743" s="159"/>
      <c r="E743" s="159"/>
      <c r="F743" s="102"/>
      <c r="G743" s="102"/>
      <c r="H743" s="102"/>
    </row>
    <row r="744" spans="4:8">
      <c r="D744" s="159"/>
      <c r="E744" s="159"/>
      <c r="F744" s="102"/>
      <c r="G744" s="102"/>
      <c r="H744" s="102"/>
    </row>
    <row r="745" spans="4:8">
      <c r="D745" s="159"/>
      <c r="E745" s="159"/>
      <c r="F745" s="102"/>
      <c r="G745" s="102"/>
      <c r="H745" s="102"/>
    </row>
    <row r="746" spans="4:8">
      <c r="D746" s="159"/>
      <c r="E746" s="159"/>
      <c r="F746" s="102"/>
      <c r="G746" s="102"/>
      <c r="H746" s="102"/>
    </row>
    <row r="747" spans="4:8">
      <c r="D747" s="159"/>
      <c r="E747" s="159"/>
      <c r="F747" s="102"/>
      <c r="G747" s="102"/>
      <c r="H747" s="102"/>
    </row>
    <row r="748" spans="4:8">
      <c r="D748" s="159"/>
      <c r="E748" s="159"/>
      <c r="F748" s="102"/>
      <c r="G748" s="102"/>
      <c r="H748" s="102"/>
    </row>
    <row r="749" spans="4:8">
      <c r="D749" s="159"/>
      <c r="E749" s="159"/>
      <c r="F749" s="102"/>
      <c r="G749" s="102"/>
      <c r="H749" s="102"/>
    </row>
    <row r="750" spans="4:8">
      <c r="D750" s="159"/>
      <c r="E750" s="159"/>
      <c r="F750" s="102"/>
      <c r="G750" s="102"/>
      <c r="H750" s="102"/>
    </row>
    <row r="751" spans="4:8">
      <c r="D751" s="159"/>
      <c r="E751" s="159"/>
      <c r="F751" s="102"/>
      <c r="G751" s="102"/>
      <c r="H751" s="102"/>
    </row>
    <row r="752" spans="4:8">
      <c r="D752" s="159"/>
      <c r="E752" s="159"/>
      <c r="F752" s="102"/>
      <c r="G752" s="102"/>
      <c r="H752" s="102"/>
    </row>
    <row r="753" spans="4:8">
      <c r="D753" s="159"/>
      <c r="E753" s="159"/>
      <c r="F753" s="102"/>
      <c r="G753" s="102"/>
      <c r="H753" s="102"/>
    </row>
    <row r="754" spans="4:8">
      <c r="D754" s="159"/>
      <c r="E754" s="159"/>
      <c r="F754" s="102"/>
      <c r="G754" s="102"/>
      <c r="H754" s="102"/>
    </row>
    <row r="755" spans="4:8">
      <c r="D755" s="159"/>
      <c r="E755" s="159"/>
      <c r="F755" s="102"/>
      <c r="G755" s="102"/>
      <c r="H755" s="102"/>
    </row>
    <row r="756" spans="4:8">
      <c r="D756" s="159"/>
      <c r="E756" s="159"/>
      <c r="F756" s="102"/>
      <c r="G756" s="102"/>
      <c r="H756" s="102"/>
    </row>
    <row r="757" spans="4:8">
      <c r="D757" s="159"/>
      <c r="E757" s="159"/>
      <c r="F757" s="102"/>
      <c r="G757" s="102"/>
      <c r="H757" s="102"/>
    </row>
    <row r="758" spans="4:8">
      <c r="D758" s="159"/>
      <c r="E758" s="159"/>
      <c r="F758" s="102"/>
      <c r="G758" s="102"/>
      <c r="H758" s="102"/>
    </row>
    <row r="759" spans="4:8">
      <c r="D759" s="159"/>
      <c r="E759" s="159"/>
      <c r="F759" s="102"/>
      <c r="G759" s="102"/>
      <c r="H759" s="102"/>
    </row>
    <row r="760" spans="4:8">
      <c r="D760" s="159"/>
      <c r="E760" s="159"/>
      <c r="F760" s="102"/>
      <c r="G760" s="102"/>
      <c r="H760" s="102"/>
    </row>
    <row r="761" spans="4:8">
      <c r="D761" s="159"/>
      <c r="E761" s="159"/>
      <c r="F761" s="102"/>
      <c r="G761" s="102"/>
      <c r="H761" s="102"/>
    </row>
    <row r="762" spans="4:8">
      <c r="D762" s="159"/>
      <c r="E762" s="159"/>
      <c r="F762" s="102"/>
      <c r="G762" s="102"/>
      <c r="H762" s="102"/>
    </row>
    <row r="763" spans="4:8">
      <c r="D763" s="159"/>
      <c r="E763" s="159"/>
      <c r="F763" s="102"/>
      <c r="G763" s="102"/>
      <c r="H763" s="102"/>
    </row>
    <row r="764" spans="4:8">
      <c r="D764" s="159"/>
      <c r="E764" s="159"/>
      <c r="F764" s="102"/>
      <c r="G764" s="102"/>
      <c r="H764" s="102"/>
    </row>
    <row r="765" spans="4:8">
      <c r="D765" s="159"/>
      <c r="E765" s="159"/>
      <c r="F765" s="102"/>
      <c r="G765" s="102"/>
      <c r="H765" s="102"/>
    </row>
    <row r="766" spans="4:8">
      <c r="D766" s="159"/>
      <c r="E766" s="159"/>
      <c r="F766" s="102"/>
      <c r="G766" s="102"/>
      <c r="H766" s="102"/>
    </row>
    <row r="767" spans="4:8">
      <c r="D767" s="159"/>
      <c r="E767" s="159"/>
      <c r="F767" s="102"/>
      <c r="G767" s="102"/>
      <c r="H767" s="102"/>
    </row>
    <row r="768" spans="4:8">
      <c r="D768" s="159"/>
      <c r="E768" s="159"/>
      <c r="F768" s="102"/>
      <c r="G768" s="102"/>
      <c r="H768" s="102"/>
    </row>
    <row r="769" spans="4:8">
      <c r="D769" s="159"/>
      <c r="E769" s="159"/>
      <c r="F769" s="102"/>
      <c r="G769" s="102"/>
      <c r="H769" s="102"/>
    </row>
    <row r="770" spans="4:8">
      <c r="D770" s="159"/>
      <c r="E770" s="159"/>
      <c r="F770" s="102"/>
      <c r="G770" s="102"/>
      <c r="H770" s="102"/>
    </row>
    <row r="771" spans="4:8">
      <c r="D771" s="159"/>
      <c r="E771" s="159"/>
      <c r="F771" s="102"/>
      <c r="G771" s="102"/>
      <c r="H771" s="102"/>
    </row>
    <row r="772" spans="4:8">
      <c r="D772" s="159"/>
      <c r="E772" s="159"/>
      <c r="F772" s="102"/>
      <c r="G772" s="102"/>
      <c r="H772" s="102"/>
    </row>
    <row r="773" spans="4:8">
      <c r="D773" s="159"/>
      <c r="E773" s="159"/>
      <c r="F773" s="102"/>
      <c r="G773" s="102"/>
      <c r="H773" s="102"/>
    </row>
    <row r="774" spans="4:8">
      <c r="D774" s="159"/>
      <c r="E774" s="159"/>
      <c r="F774" s="102"/>
      <c r="G774" s="102"/>
      <c r="H774" s="102"/>
    </row>
    <row r="775" spans="4:8">
      <c r="D775" s="159"/>
      <c r="E775" s="159"/>
      <c r="F775" s="102"/>
      <c r="G775" s="102"/>
      <c r="H775" s="102"/>
    </row>
    <row r="776" spans="4:8">
      <c r="D776" s="159"/>
      <c r="E776" s="159"/>
      <c r="F776" s="102"/>
      <c r="G776" s="102"/>
      <c r="H776" s="102"/>
    </row>
    <row r="777" spans="4:8">
      <c r="D777" s="159"/>
      <c r="E777" s="159"/>
      <c r="F777" s="102"/>
      <c r="G777" s="102"/>
      <c r="H777" s="102"/>
    </row>
    <row r="778" spans="4:8">
      <c r="D778" s="159"/>
      <c r="E778" s="159"/>
      <c r="F778" s="102"/>
      <c r="G778" s="102"/>
      <c r="H778" s="102"/>
    </row>
    <row r="779" spans="4:8">
      <c r="D779" s="159"/>
      <c r="E779" s="159"/>
      <c r="F779" s="102"/>
      <c r="G779" s="102"/>
      <c r="H779" s="102"/>
    </row>
    <row r="780" spans="4:8">
      <c r="D780" s="159"/>
      <c r="E780" s="159"/>
      <c r="F780" s="102"/>
      <c r="G780" s="102"/>
      <c r="H780" s="102"/>
    </row>
    <row r="781" spans="4:8">
      <c r="D781" s="159"/>
      <c r="E781" s="159"/>
      <c r="F781" s="102"/>
      <c r="G781" s="102"/>
      <c r="H781" s="102"/>
    </row>
    <row r="782" spans="4:8">
      <c r="D782" s="159"/>
      <c r="E782" s="159"/>
      <c r="F782" s="102"/>
      <c r="G782" s="102"/>
      <c r="H782" s="102"/>
    </row>
    <row r="783" spans="4:8">
      <c r="D783" s="159"/>
      <c r="E783" s="159"/>
      <c r="F783" s="102"/>
      <c r="G783" s="102"/>
      <c r="H783" s="102"/>
    </row>
    <row r="784" spans="4:8">
      <c r="D784" s="159"/>
      <c r="E784" s="159"/>
      <c r="F784" s="102"/>
      <c r="G784" s="102"/>
      <c r="H784" s="102"/>
    </row>
    <row r="785" spans="4:8">
      <c r="D785" s="159"/>
      <c r="E785" s="159"/>
      <c r="F785" s="102"/>
      <c r="G785" s="102"/>
      <c r="H785" s="102"/>
    </row>
    <row r="786" spans="4:8">
      <c r="D786" s="159"/>
      <c r="E786" s="159"/>
      <c r="F786" s="102"/>
      <c r="G786" s="102"/>
      <c r="H786" s="102"/>
    </row>
    <row r="787" spans="4:8">
      <c r="D787" s="159"/>
      <c r="E787" s="159"/>
      <c r="F787" s="102"/>
      <c r="G787" s="102"/>
      <c r="H787" s="102"/>
    </row>
    <row r="788" spans="4:8">
      <c r="D788" s="159"/>
      <c r="E788" s="159"/>
      <c r="F788" s="102"/>
      <c r="G788" s="102"/>
      <c r="H788" s="102"/>
    </row>
    <row r="789" spans="4:8">
      <c r="D789" s="159"/>
      <c r="E789" s="159"/>
      <c r="F789" s="102"/>
      <c r="G789" s="102"/>
      <c r="H789" s="102"/>
    </row>
    <row r="790" spans="4:8">
      <c r="D790" s="159"/>
      <c r="E790" s="159"/>
      <c r="F790" s="102"/>
      <c r="G790" s="102"/>
      <c r="H790" s="102"/>
    </row>
    <row r="791" spans="4:8">
      <c r="D791" s="159"/>
      <c r="E791" s="159"/>
      <c r="F791" s="102"/>
      <c r="G791" s="102"/>
      <c r="H791" s="102"/>
    </row>
    <row r="792" spans="4:8">
      <c r="D792" s="159"/>
      <c r="E792" s="159"/>
      <c r="F792" s="102"/>
      <c r="G792" s="102"/>
      <c r="H792" s="102"/>
    </row>
    <row r="793" spans="4:8">
      <c r="D793" s="159"/>
      <c r="E793" s="159"/>
      <c r="F793" s="102"/>
      <c r="G793" s="102"/>
      <c r="H793" s="102"/>
    </row>
    <row r="794" spans="4:8">
      <c r="D794" s="159"/>
      <c r="E794" s="159"/>
      <c r="F794" s="102"/>
      <c r="G794" s="102"/>
      <c r="H794" s="102"/>
    </row>
    <row r="795" spans="4:8">
      <c r="D795" s="159"/>
      <c r="E795" s="159"/>
      <c r="F795" s="102"/>
      <c r="G795" s="102"/>
      <c r="H795" s="102"/>
    </row>
    <row r="796" spans="4:8">
      <c r="D796" s="159"/>
      <c r="E796" s="159"/>
      <c r="F796" s="102"/>
      <c r="G796" s="102"/>
      <c r="H796" s="102"/>
    </row>
    <row r="797" spans="4:8">
      <c r="D797" s="159"/>
      <c r="E797" s="159"/>
      <c r="F797" s="102"/>
      <c r="G797" s="102"/>
      <c r="H797" s="102"/>
    </row>
    <row r="798" spans="4:8">
      <c r="D798" s="159"/>
      <c r="E798" s="159"/>
      <c r="F798" s="102"/>
      <c r="G798" s="102"/>
      <c r="H798" s="102"/>
    </row>
    <row r="799" spans="4:8">
      <c r="D799" s="159"/>
      <c r="E799" s="159"/>
      <c r="F799" s="102"/>
      <c r="G799" s="102"/>
      <c r="H799" s="102"/>
    </row>
    <row r="800" spans="4:8">
      <c r="D800" s="159"/>
      <c r="E800" s="159"/>
      <c r="F800" s="102"/>
      <c r="G800" s="102"/>
      <c r="H800" s="102"/>
    </row>
    <row r="801" spans="4:8">
      <c r="D801" s="159"/>
      <c r="E801" s="159"/>
      <c r="F801" s="102"/>
      <c r="G801" s="102"/>
      <c r="H801" s="102"/>
    </row>
    <row r="802" spans="4:8">
      <c r="D802" s="159"/>
      <c r="E802" s="159"/>
      <c r="F802" s="102"/>
      <c r="G802" s="102"/>
      <c r="H802" s="102"/>
    </row>
    <row r="803" spans="4:8">
      <c r="D803" s="159"/>
      <c r="E803" s="159"/>
      <c r="F803" s="102"/>
      <c r="G803" s="102"/>
      <c r="H803" s="102"/>
    </row>
    <row r="804" spans="4:8">
      <c r="D804" s="159"/>
      <c r="E804" s="159"/>
      <c r="F804" s="102"/>
      <c r="G804" s="102"/>
      <c r="H804" s="102"/>
    </row>
    <row r="805" spans="4:8">
      <c r="D805" s="159"/>
      <c r="E805" s="159"/>
      <c r="F805" s="102"/>
      <c r="G805" s="102"/>
      <c r="H805" s="102"/>
    </row>
    <row r="806" spans="4:8">
      <c r="D806" s="159"/>
      <c r="E806" s="159"/>
      <c r="F806" s="102"/>
      <c r="G806" s="102"/>
      <c r="H806" s="102"/>
    </row>
    <row r="807" spans="4:8">
      <c r="D807" s="159"/>
      <c r="E807" s="159"/>
      <c r="F807" s="102"/>
      <c r="G807" s="102"/>
      <c r="H807" s="102"/>
    </row>
    <row r="808" spans="4:8">
      <c r="D808" s="159"/>
      <c r="E808" s="159"/>
      <c r="F808" s="102"/>
      <c r="G808" s="102"/>
      <c r="H808" s="102"/>
    </row>
    <row r="809" spans="4:8">
      <c r="D809" s="159"/>
      <c r="E809" s="159"/>
      <c r="F809" s="102"/>
      <c r="G809" s="102"/>
      <c r="H809" s="102"/>
    </row>
    <row r="810" spans="4:8">
      <c r="D810" s="159"/>
      <c r="E810" s="159"/>
      <c r="F810" s="102"/>
      <c r="G810" s="102"/>
      <c r="H810" s="102"/>
    </row>
    <row r="811" spans="4:8">
      <c r="D811" s="159"/>
      <c r="E811" s="159"/>
      <c r="F811" s="102"/>
      <c r="G811" s="102"/>
      <c r="H811" s="102"/>
    </row>
    <row r="812" spans="4:8">
      <c r="D812" s="159"/>
      <c r="E812" s="159"/>
      <c r="F812" s="102"/>
      <c r="G812" s="102"/>
      <c r="H812" s="102"/>
    </row>
    <row r="813" spans="4:8">
      <c r="D813" s="159"/>
      <c r="E813" s="159"/>
      <c r="F813" s="102"/>
      <c r="G813" s="102"/>
      <c r="H813" s="102"/>
    </row>
    <row r="814" spans="4:8">
      <c r="D814" s="159"/>
      <c r="E814" s="159"/>
      <c r="F814" s="102"/>
      <c r="G814" s="102"/>
      <c r="H814" s="102"/>
    </row>
    <row r="815" spans="4:8">
      <c r="D815" s="159"/>
      <c r="E815" s="159"/>
      <c r="F815" s="102"/>
      <c r="G815" s="102"/>
      <c r="H815" s="102"/>
    </row>
    <row r="816" spans="4:8">
      <c r="D816" s="159"/>
      <c r="E816" s="159"/>
      <c r="F816" s="102"/>
      <c r="G816" s="102"/>
      <c r="H816" s="102"/>
    </row>
    <row r="817" spans="4:8">
      <c r="D817" s="159"/>
      <c r="E817" s="159"/>
      <c r="F817" s="102"/>
      <c r="G817" s="102"/>
      <c r="H817" s="102"/>
    </row>
    <row r="818" spans="4:8">
      <c r="D818" s="159"/>
      <c r="E818" s="159"/>
      <c r="F818" s="102"/>
      <c r="G818" s="102"/>
      <c r="H818" s="102"/>
    </row>
    <row r="819" spans="4:8">
      <c r="D819" s="159"/>
      <c r="E819" s="159"/>
      <c r="F819" s="102"/>
      <c r="G819" s="102"/>
      <c r="H819" s="102"/>
    </row>
    <row r="820" spans="4:8">
      <c r="D820" s="159"/>
      <c r="E820" s="159"/>
      <c r="F820" s="102"/>
      <c r="G820" s="102"/>
      <c r="H820" s="102"/>
    </row>
    <row r="821" spans="4:8">
      <c r="D821" s="159"/>
      <c r="E821" s="159"/>
      <c r="F821" s="102"/>
      <c r="G821" s="102"/>
      <c r="H821" s="102"/>
    </row>
    <row r="822" spans="4:8">
      <c r="D822" s="159"/>
      <c r="E822" s="159"/>
      <c r="F822" s="102"/>
      <c r="G822" s="102"/>
      <c r="H822" s="102"/>
    </row>
    <row r="823" spans="4:8">
      <c r="D823" s="159"/>
      <c r="E823" s="159"/>
      <c r="F823" s="102"/>
      <c r="G823" s="102"/>
      <c r="H823" s="102"/>
    </row>
    <row r="824" spans="4:8">
      <c r="D824" s="159"/>
      <c r="E824" s="159"/>
      <c r="F824" s="102"/>
      <c r="G824" s="102"/>
      <c r="H824" s="102"/>
    </row>
    <row r="825" spans="4:8">
      <c r="D825" s="159"/>
      <c r="E825" s="159"/>
      <c r="F825" s="102"/>
      <c r="G825" s="102"/>
      <c r="H825" s="102"/>
    </row>
    <row r="826" spans="4:8">
      <c r="D826" s="159"/>
      <c r="E826" s="159"/>
      <c r="F826" s="102"/>
      <c r="G826" s="102"/>
      <c r="H826" s="102"/>
    </row>
    <row r="827" spans="4:8">
      <c r="D827" s="159"/>
      <c r="E827" s="159"/>
      <c r="F827" s="102"/>
      <c r="G827" s="102"/>
      <c r="H827" s="102"/>
    </row>
    <row r="828" spans="4:8">
      <c r="D828" s="159"/>
      <c r="E828" s="159"/>
      <c r="F828" s="102"/>
      <c r="G828" s="102"/>
      <c r="H828" s="102"/>
    </row>
  </sheetData>
  <pageMargins left="0.70866141732283472" right="0.70866141732283472" top="0.74803149606299213" bottom="0.74803149606299213" header="0.31496062992125984" footer="0.31496062992125984"/>
  <pageSetup scale="61" orientation="portrait" r:id="rId1"/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opLeftCell="D1" zoomScaleNormal="100" workbookViewId="0">
      <pane ySplit="2" topLeftCell="A22" activePane="bottomLeft" state="frozen"/>
      <selection pane="bottomLeft" activeCell="J5" sqref="J5:J40"/>
    </sheetView>
  </sheetViews>
  <sheetFormatPr defaultRowHeight="15"/>
  <cols>
    <col min="2" max="2" width="20.85546875" bestFit="1" customWidth="1"/>
    <col min="3" max="3" width="36" customWidth="1"/>
    <col min="4" max="4" width="26" style="159" bestFit="1" customWidth="1"/>
    <col min="5" max="5" width="24" style="159" hidden="1" customWidth="1"/>
    <col min="6" max="6" width="26" style="159" bestFit="1" customWidth="1"/>
    <col min="7" max="7" width="26" style="157" hidden="1" customWidth="1"/>
    <col min="8" max="8" width="26" bestFit="1" customWidth="1"/>
    <col min="9" max="11" width="26" customWidth="1"/>
    <col min="12" max="12" width="23" bestFit="1" customWidth="1"/>
    <col min="13" max="13" width="23" customWidth="1"/>
    <col min="14" max="14" width="19.7109375" bestFit="1" customWidth="1"/>
    <col min="15" max="16" width="26" bestFit="1" customWidth="1"/>
  </cols>
  <sheetData>
    <row r="1" spans="1:13" ht="15.75" thickBot="1">
      <c r="A1" s="147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27"/>
      <c r="M1" s="27"/>
    </row>
    <row r="2" spans="1:13" s="1" customFormat="1" ht="15.75" thickBot="1">
      <c r="A2" s="149" t="s">
        <v>4</v>
      </c>
      <c r="B2" s="150" t="s">
        <v>5</v>
      </c>
      <c r="C2" s="151" t="s">
        <v>6</v>
      </c>
      <c r="D2" s="152" t="s">
        <v>916</v>
      </c>
      <c r="E2" s="153" t="s">
        <v>920</v>
      </c>
      <c r="F2" s="152" t="s">
        <v>1102</v>
      </c>
      <c r="G2" s="152" t="s">
        <v>1104</v>
      </c>
      <c r="H2" s="152" t="s">
        <v>1103</v>
      </c>
      <c r="I2" s="152" t="s">
        <v>1118</v>
      </c>
      <c r="J2" s="152" t="s">
        <v>1123</v>
      </c>
      <c r="K2" s="231"/>
      <c r="L2" s="44"/>
      <c r="M2" s="44"/>
    </row>
    <row r="3" spans="1:13">
      <c r="A3" s="39"/>
      <c r="B3" s="39"/>
      <c r="C3" s="39"/>
      <c r="D3" s="103"/>
      <c r="E3" s="103"/>
      <c r="F3" s="103"/>
      <c r="G3" s="103"/>
      <c r="H3" s="103"/>
      <c r="I3" s="234"/>
      <c r="J3" s="41"/>
      <c r="K3" s="41"/>
    </row>
    <row r="4" spans="1:13">
      <c r="A4" s="39" t="s">
        <v>921</v>
      </c>
      <c r="B4" s="39"/>
      <c r="C4" s="39"/>
      <c r="D4" s="103"/>
      <c r="E4" s="103"/>
      <c r="F4" s="103"/>
      <c r="G4" s="103"/>
      <c r="H4" s="103"/>
      <c r="I4" s="234"/>
      <c r="J4" s="41"/>
      <c r="K4" s="41"/>
    </row>
    <row r="5" spans="1:13">
      <c r="A5" s="13">
        <v>220</v>
      </c>
      <c r="B5" s="13">
        <v>1</v>
      </c>
      <c r="C5" s="13" t="s">
        <v>16</v>
      </c>
      <c r="D5" s="104">
        <v>1801442.48</v>
      </c>
      <c r="E5" s="104">
        <v>1235799.3799999999</v>
      </c>
      <c r="F5" s="104">
        <f>L5*5.8/100+L5</f>
        <v>1961213.6160599999</v>
      </c>
      <c r="G5" s="104">
        <v>383580.58</v>
      </c>
      <c r="H5" s="104">
        <v>1982198.6017518418</v>
      </c>
      <c r="I5" s="235">
        <v>838580.58</v>
      </c>
      <c r="J5" s="80">
        <f>SALARIES!J17</f>
        <v>2101130.5178569523</v>
      </c>
      <c r="K5" s="40"/>
      <c r="L5" s="140">
        <f>+E5/8*12</f>
        <v>1853699.0699999998</v>
      </c>
      <c r="M5" s="27"/>
    </row>
    <row r="6" spans="1:13">
      <c r="A6" s="13">
        <v>220</v>
      </c>
      <c r="B6" s="13">
        <v>3</v>
      </c>
      <c r="C6" s="13" t="s">
        <v>56</v>
      </c>
      <c r="D6" s="104">
        <v>54220</v>
      </c>
      <c r="E6" s="104">
        <v>41200</v>
      </c>
      <c r="F6" s="104">
        <f t="shared" ref="F6:F15" si="0">L6*5.8/100+L6</f>
        <v>65384.4</v>
      </c>
      <c r="G6" s="104">
        <v>29190</v>
      </c>
      <c r="H6" s="104">
        <v>66084.013080000004</v>
      </c>
      <c r="I6" s="235">
        <v>29190</v>
      </c>
      <c r="J6" s="80">
        <f>SALARIES!J18</f>
        <v>70049.053864800007</v>
      </c>
      <c r="K6" s="40"/>
      <c r="L6" s="140">
        <f t="shared" ref="L6:L15" si="1">+E6/8*12</f>
        <v>61800</v>
      </c>
    </row>
    <row r="7" spans="1:13">
      <c r="A7" s="13">
        <v>220</v>
      </c>
      <c r="B7" s="13">
        <v>4</v>
      </c>
      <c r="C7" s="13" t="s">
        <v>58</v>
      </c>
      <c r="D7" s="104">
        <v>6987.6</v>
      </c>
      <c r="E7" s="104">
        <v>5000.92</v>
      </c>
      <c r="F7" s="104">
        <f t="shared" si="0"/>
        <v>7936.4600399999999</v>
      </c>
      <c r="G7" s="104">
        <v>3993.88</v>
      </c>
      <c r="H7" s="104">
        <v>8021.3801624280004</v>
      </c>
      <c r="I7" s="235">
        <v>3993.88</v>
      </c>
      <c r="J7" s="80">
        <f>SALARIES!J19</f>
        <v>8502.6629721736808</v>
      </c>
      <c r="K7" s="40"/>
      <c r="L7" s="140">
        <f t="shared" si="1"/>
        <v>7501.38</v>
      </c>
    </row>
    <row r="8" spans="1:13">
      <c r="A8" s="13">
        <v>220</v>
      </c>
      <c r="B8" s="13">
        <v>6</v>
      </c>
      <c r="C8" s="13" t="s">
        <v>19</v>
      </c>
      <c r="D8" s="104">
        <v>660628.06000000006</v>
      </c>
      <c r="E8" s="104">
        <v>377890.56</v>
      </c>
      <c r="F8" s="104">
        <f t="shared" si="0"/>
        <v>599712.31871999998</v>
      </c>
      <c r="G8" s="104">
        <v>315999.44</v>
      </c>
      <c r="H8" s="104">
        <v>606129.24053030403</v>
      </c>
      <c r="I8" s="235">
        <v>353070.64</v>
      </c>
      <c r="J8" s="80">
        <f>SALARIES!J20</f>
        <v>642496.99496212229</v>
      </c>
      <c r="K8" s="40"/>
      <c r="L8" s="140">
        <f t="shared" si="1"/>
        <v>566835.84</v>
      </c>
    </row>
    <row r="9" spans="1:13">
      <c r="A9" s="13">
        <v>220</v>
      </c>
      <c r="B9" s="13">
        <v>10</v>
      </c>
      <c r="C9" s="13" t="s">
        <v>22</v>
      </c>
      <c r="D9" s="104">
        <v>311651.3</v>
      </c>
      <c r="E9" s="104">
        <v>214511.3</v>
      </c>
      <c r="F9" s="104">
        <f t="shared" si="0"/>
        <v>340429.43309999997</v>
      </c>
      <c r="G9" s="104">
        <v>146728.32999999999</v>
      </c>
      <c r="H9" s="104">
        <v>344072.02803416998</v>
      </c>
      <c r="I9" s="235">
        <v>146728.32999999999</v>
      </c>
      <c r="J9" s="80">
        <f>SALARIES!J21</f>
        <v>364716.34971622017</v>
      </c>
      <c r="K9" s="40"/>
      <c r="L9" s="140">
        <f t="shared" si="1"/>
        <v>321766.94999999995</v>
      </c>
    </row>
    <row r="10" spans="1:13">
      <c r="A10" s="13">
        <v>220</v>
      </c>
      <c r="B10" s="13">
        <v>14</v>
      </c>
      <c r="C10" s="13" t="s">
        <v>25</v>
      </c>
      <c r="D10" s="104">
        <v>347273.5</v>
      </c>
      <c r="E10" s="104">
        <v>238939.75</v>
      </c>
      <c r="F10" s="104">
        <f t="shared" si="0"/>
        <v>379197.38325000001</v>
      </c>
      <c r="G10" s="104">
        <v>165515.29999999999</v>
      </c>
      <c r="H10" s="104">
        <v>383254.795250775</v>
      </c>
      <c r="I10" s="235">
        <v>165515.29999999999</v>
      </c>
      <c r="J10" s="80">
        <f>SALARIES!J22</f>
        <v>406250.08296582149</v>
      </c>
      <c r="K10" s="40"/>
      <c r="L10" s="140">
        <f t="shared" si="1"/>
        <v>358409.625</v>
      </c>
    </row>
    <row r="11" spans="1:13">
      <c r="A11" s="13">
        <v>220</v>
      </c>
      <c r="B11" s="13">
        <v>16</v>
      </c>
      <c r="C11" s="13" t="s">
        <v>27</v>
      </c>
      <c r="D11" s="104">
        <v>9630.5</v>
      </c>
      <c r="E11" s="104">
        <v>6599.89</v>
      </c>
      <c r="F11" s="104">
        <f t="shared" si="0"/>
        <v>10474.025430000002</v>
      </c>
      <c r="G11" s="104">
        <v>4889.62</v>
      </c>
      <c r="H11" s="104">
        <v>10586.097502101002</v>
      </c>
      <c r="I11" s="235">
        <v>4889.62</v>
      </c>
      <c r="J11" s="80">
        <f>SALARIES!J23</f>
        <v>11221.263352227063</v>
      </c>
      <c r="K11" s="40"/>
      <c r="L11" s="140">
        <f t="shared" si="1"/>
        <v>9899.8350000000009</v>
      </c>
    </row>
    <row r="12" spans="1:13">
      <c r="A12" s="13">
        <v>220</v>
      </c>
      <c r="B12" s="13">
        <v>17</v>
      </c>
      <c r="C12" s="13" t="s">
        <v>29</v>
      </c>
      <c r="D12" s="104">
        <v>40181.199999999997</v>
      </c>
      <c r="E12" s="104">
        <v>27947.8</v>
      </c>
      <c r="F12" s="104">
        <f t="shared" si="0"/>
        <v>44353.158599999995</v>
      </c>
      <c r="G12" s="104">
        <v>18395.400000000001</v>
      </c>
      <c r="H12" s="104">
        <v>44827.737397019999</v>
      </c>
      <c r="I12" s="235">
        <v>18395.400000000001</v>
      </c>
      <c r="J12" s="80">
        <f>SALARIES!J24</f>
        <v>47517.401640841199</v>
      </c>
      <c r="K12" s="40"/>
      <c r="L12" s="140">
        <f t="shared" si="1"/>
        <v>41921.699999999997</v>
      </c>
    </row>
    <row r="13" spans="1:13">
      <c r="A13" s="13">
        <v>220</v>
      </c>
      <c r="B13" s="13">
        <v>18</v>
      </c>
      <c r="C13" s="13" t="s">
        <v>31</v>
      </c>
      <c r="D13" s="104">
        <v>234048.72</v>
      </c>
      <c r="E13" s="104">
        <v>132332.9</v>
      </c>
      <c r="F13" s="104">
        <f t="shared" si="0"/>
        <v>210012.31229999996</v>
      </c>
      <c r="G13" s="104">
        <v>146431.07999999999</v>
      </c>
      <c r="H13" s="104">
        <v>212259.44404160997</v>
      </c>
      <c r="I13" s="235">
        <v>146431.07999999999</v>
      </c>
      <c r="J13" s="80">
        <f>SALARIES!J25</f>
        <v>224995.01068410656</v>
      </c>
      <c r="K13" s="40"/>
      <c r="L13" s="140">
        <f t="shared" si="1"/>
        <v>198499.34999999998</v>
      </c>
    </row>
    <row r="14" spans="1:13">
      <c r="A14" s="20">
        <v>220</v>
      </c>
      <c r="B14" s="20">
        <v>102</v>
      </c>
      <c r="C14" s="20" t="s">
        <v>66</v>
      </c>
      <c r="D14" s="144">
        <v>258214.84</v>
      </c>
      <c r="E14" s="144">
        <v>133343.79999999999</v>
      </c>
      <c r="F14" s="144">
        <f t="shared" si="0"/>
        <v>211616.61059999999</v>
      </c>
      <c r="G14" s="104">
        <v>13255.49</v>
      </c>
      <c r="H14" s="104">
        <v>213880.90833342</v>
      </c>
      <c r="I14" s="235">
        <v>13255.49</v>
      </c>
      <c r="J14" s="80">
        <f>SALARIES!J26</f>
        <v>226713.76283342519</v>
      </c>
      <c r="K14" s="40"/>
      <c r="L14" s="140">
        <f t="shared" si="1"/>
        <v>200015.69999999998</v>
      </c>
    </row>
    <row r="15" spans="1:13">
      <c r="A15" s="13">
        <v>220</v>
      </c>
      <c r="B15" s="13">
        <v>104</v>
      </c>
      <c r="C15" s="13" t="s">
        <v>34</v>
      </c>
      <c r="D15" s="104">
        <v>301.13</v>
      </c>
      <c r="E15" s="104">
        <v>295.31</v>
      </c>
      <c r="F15" s="104">
        <f t="shared" si="0"/>
        <v>468.65697000000006</v>
      </c>
      <c r="G15" s="104">
        <v>264.64999999999998</v>
      </c>
      <c r="H15" s="104">
        <v>473.67159957900003</v>
      </c>
      <c r="I15" s="235">
        <v>264.64999999999998</v>
      </c>
      <c r="J15" s="80">
        <f>SALARIES!J27</f>
        <v>502.09189555374002</v>
      </c>
      <c r="K15" s="40"/>
      <c r="L15" s="140">
        <f t="shared" si="1"/>
        <v>442.96500000000003</v>
      </c>
    </row>
    <row r="16" spans="1:13">
      <c r="A16" s="79">
        <v>220</v>
      </c>
      <c r="B16" s="79">
        <v>11</v>
      </c>
      <c r="C16" s="79" t="s">
        <v>24</v>
      </c>
      <c r="D16" s="104"/>
      <c r="E16" s="104"/>
      <c r="F16" s="98">
        <v>0</v>
      </c>
      <c r="G16" s="104">
        <v>145492.10999999999</v>
      </c>
      <c r="H16" s="104">
        <v>292000</v>
      </c>
      <c r="I16" s="235"/>
      <c r="J16" s="80">
        <f>SALARIES!J28</f>
        <v>309520</v>
      </c>
      <c r="K16" s="91"/>
      <c r="L16" s="27"/>
    </row>
    <row r="17" spans="1:12">
      <c r="D17" s="105">
        <f>SUM(D5:D15)</f>
        <v>3724579.33</v>
      </c>
      <c r="E17" s="105">
        <f>SUM(E5:E15)</f>
        <v>2413861.61</v>
      </c>
      <c r="F17" s="105">
        <f>SUM(F5:F15)</f>
        <v>3830798.3750699996</v>
      </c>
      <c r="G17" s="105">
        <f>SUM(G5:G15)</f>
        <v>1228243.77</v>
      </c>
      <c r="H17" s="105">
        <f>SUM(H5:H16)</f>
        <v>4163787.9176832489</v>
      </c>
      <c r="I17" s="236">
        <f>SUM(I5:I16)</f>
        <v>1720314.9700000002</v>
      </c>
      <c r="J17" s="74">
        <f>J5+J6+J7+J8+J9+J10+J11+J12+J13+J14+J15</f>
        <v>4104095.1927442434</v>
      </c>
      <c r="K17" s="74"/>
    </row>
    <row r="18" spans="1:12">
      <c r="A18" s="1" t="s">
        <v>1031</v>
      </c>
      <c r="D18" s="105"/>
      <c r="E18" s="105"/>
      <c r="F18" s="105"/>
      <c r="G18" s="105"/>
      <c r="H18" s="105"/>
      <c r="I18" s="236"/>
      <c r="J18" s="47"/>
      <c r="K18" s="47"/>
    </row>
    <row r="19" spans="1:12">
      <c r="A19" s="13">
        <v>220</v>
      </c>
      <c r="B19" s="13">
        <v>210</v>
      </c>
      <c r="C19" s="13" t="s">
        <v>44</v>
      </c>
      <c r="D19" s="104">
        <v>53648.160000000003</v>
      </c>
      <c r="E19" s="104">
        <v>0</v>
      </c>
      <c r="F19" s="104">
        <f>'NON CASH'!G4</f>
        <v>54721.123200000002</v>
      </c>
      <c r="G19" s="104">
        <v>0</v>
      </c>
      <c r="H19" s="104">
        <f>'NON CASH'!H4</f>
        <v>57457.179360000002</v>
      </c>
      <c r="I19" s="235"/>
      <c r="J19" s="80">
        <f>'NON CASH'!I4</f>
        <v>58606.322947200002</v>
      </c>
      <c r="K19" s="40"/>
      <c r="L19" s="140">
        <f>+E19/8*12</f>
        <v>0</v>
      </c>
    </row>
    <row r="20" spans="1:12">
      <c r="D20" s="105">
        <f>D19</f>
        <v>53648.160000000003</v>
      </c>
      <c r="E20" s="105"/>
      <c r="F20" s="105">
        <f>F19</f>
        <v>54721.123200000002</v>
      </c>
      <c r="G20" s="105">
        <f>G19</f>
        <v>0</v>
      </c>
      <c r="H20" s="105">
        <f>H19</f>
        <v>57457.179360000002</v>
      </c>
      <c r="I20" s="236">
        <f>I19</f>
        <v>0</v>
      </c>
      <c r="J20" s="74">
        <f>J19</f>
        <v>58606.322947200002</v>
      </c>
      <c r="K20" s="74"/>
    </row>
    <row r="21" spans="1:12">
      <c r="D21" s="105"/>
      <c r="E21" s="105"/>
      <c r="F21" s="105"/>
      <c r="G21" s="105"/>
      <c r="H21" s="105"/>
      <c r="I21" s="236"/>
      <c r="J21" s="47"/>
      <c r="K21" s="47"/>
    </row>
    <row r="22" spans="1:12" s="1" customFormat="1">
      <c r="A22" s="1" t="s">
        <v>924</v>
      </c>
      <c r="D22" s="108"/>
      <c r="E22" s="108"/>
      <c r="F22" s="158"/>
      <c r="G22" s="158"/>
      <c r="H22" s="158"/>
      <c r="I22" s="245"/>
    </row>
    <row r="23" spans="1:12">
      <c r="A23" s="13">
        <v>220</v>
      </c>
      <c r="B23" s="13">
        <v>171</v>
      </c>
      <c r="C23" s="13" t="s">
        <v>69</v>
      </c>
      <c r="D23" s="104">
        <v>780000</v>
      </c>
      <c r="E23" s="104">
        <v>546950</v>
      </c>
      <c r="F23" s="98">
        <v>750000</v>
      </c>
      <c r="G23" s="104">
        <v>12500</v>
      </c>
      <c r="H23" s="104">
        <v>300000</v>
      </c>
      <c r="I23" s="235">
        <v>12500</v>
      </c>
      <c r="J23" s="84">
        <v>400000</v>
      </c>
      <c r="K23" s="91">
        <f>I23/7*12</f>
        <v>21428.571428571428</v>
      </c>
      <c r="L23" s="140">
        <f>+E23/8*12</f>
        <v>820425</v>
      </c>
    </row>
    <row r="24" spans="1:12">
      <c r="A24" s="13">
        <v>220</v>
      </c>
      <c r="B24" s="13">
        <v>175</v>
      </c>
      <c r="C24" s="13" t="s">
        <v>71</v>
      </c>
      <c r="D24" s="104">
        <v>391108.21</v>
      </c>
      <c r="E24" s="104">
        <v>350617.47</v>
      </c>
      <c r="F24" s="104">
        <v>200000</v>
      </c>
      <c r="G24" s="104">
        <v>0</v>
      </c>
      <c r="H24" s="104">
        <v>200000</v>
      </c>
      <c r="I24" s="235">
        <v>0</v>
      </c>
      <c r="J24" s="80">
        <v>350000</v>
      </c>
      <c r="K24" s="91">
        <f t="shared" ref="K24:K34" si="2">I24/7*12</f>
        <v>0</v>
      </c>
      <c r="L24" s="140">
        <f t="shared" ref="L24:L33" si="3">+E24/8*12</f>
        <v>525926.20499999996</v>
      </c>
    </row>
    <row r="25" spans="1:12">
      <c r="A25" s="13">
        <v>220</v>
      </c>
      <c r="B25" s="13">
        <v>178</v>
      </c>
      <c r="C25" s="13" t="s">
        <v>72</v>
      </c>
      <c r="D25" s="104">
        <v>350000</v>
      </c>
      <c r="E25" s="104">
        <v>0</v>
      </c>
      <c r="F25" s="104">
        <v>200000</v>
      </c>
      <c r="G25" s="104">
        <v>0</v>
      </c>
      <c r="H25" s="104">
        <v>200000</v>
      </c>
      <c r="I25" s="235">
        <v>0</v>
      </c>
      <c r="J25" s="80">
        <v>200000</v>
      </c>
      <c r="K25" s="91">
        <f t="shared" si="2"/>
        <v>0</v>
      </c>
      <c r="L25" s="140">
        <f t="shared" si="3"/>
        <v>0</v>
      </c>
    </row>
    <row r="26" spans="1:12">
      <c r="A26" s="13">
        <v>220</v>
      </c>
      <c r="B26" s="13">
        <v>179</v>
      </c>
      <c r="C26" s="13" t="s">
        <v>73</v>
      </c>
      <c r="D26" s="104">
        <v>80000</v>
      </c>
      <c r="E26" s="104">
        <v>39518.339999999997</v>
      </c>
      <c r="F26" s="104">
        <v>40000</v>
      </c>
      <c r="G26" s="104">
        <v>8174.15</v>
      </c>
      <c r="H26" s="104">
        <v>30000</v>
      </c>
      <c r="I26" s="235">
        <v>8174.15</v>
      </c>
      <c r="J26" s="80">
        <v>14012.82857142857</v>
      </c>
      <c r="K26" s="91">
        <f t="shared" si="2"/>
        <v>14012.82857142857</v>
      </c>
      <c r="L26" s="140">
        <f t="shared" si="3"/>
        <v>59277.509999999995</v>
      </c>
    </row>
    <row r="27" spans="1:12">
      <c r="A27" s="13">
        <v>220</v>
      </c>
      <c r="B27" s="13">
        <v>183</v>
      </c>
      <c r="C27" s="13" t="s">
        <v>75</v>
      </c>
      <c r="D27" s="104">
        <v>100000</v>
      </c>
      <c r="E27" s="104">
        <v>36000</v>
      </c>
      <c r="F27" s="104">
        <v>70000</v>
      </c>
      <c r="G27" s="104">
        <v>11170</v>
      </c>
      <c r="H27" s="104">
        <v>60000</v>
      </c>
      <c r="I27" s="235">
        <v>11170</v>
      </c>
      <c r="J27" s="80">
        <v>19148.571428571428</v>
      </c>
      <c r="K27" s="91">
        <f t="shared" si="2"/>
        <v>19148.571428571428</v>
      </c>
      <c r="L27" s="140">
        <f t="shared" si="3"/>
        <v>54000</v>
      </c>
    </row>
    <row r="28" spans="1:12">
      <c r="A28" s="13">
        <v>220</v>
      </c>
      <c r="B28" s="13">
        <v>193</v>
      </c>
      <c r="C28" s="13" t="s">
        <v>36</v>
      </c>
      <c r="D28" s="104">
        <v>2000000</v>
      </c>
      <c r="E28" s="104">
        <v>930770.53</v>
      </c>
      <c r="F28" s="104">
        <v>1400000</v>
      </c>
      <c r="G28" s="104">
        <v>1491228.06</v>
      </c>
      <c r="H28" s="104">
        <v>2000000</v>
      </c>
      <c r="I28" s="235">
        <v>1491228.06</v>
      </c>
      <c r="J28" s="80">
        <v>2600000</v>
      </c>
      <c r="K28" s="91">
        <f t="shared" si="2"/>
        <v>2556390.96</v>
      </c>
      <c r="L28" s="140">
        <f t="shared" si="3"/>
        <v>1396155.7949999999</v>
      </c>
    </row>
    <row r="29" spans="1:12">
      <c r="A29" s="13">
        <v>220</v>
      </c>
      <c r="B29" s="13">
        <v>195</v>
      </c>
      <c r="C29" s="13" t="s">
        <v>38</v>
      </c>
      <c r="D29" s="104">
        <v>500000</v>
      </c>
      <c r="E29" s="104">
        <v>294411.49</v>
      </c>
      <c r="F29" s="104">
        <v>300000</v>
      </c>
      <c r="G29" s="104">
        <v>159052.91</v>
      </c>
      <c r="H29" s="104">
        <v>300000</v>
      </c>
      <c r="I29" s="235">
        <v>310862.15999999997</v>
      </c>
      <c r="J29" s="80">
        <v>600000</v>
      </c>
      <c r="K29" s="91">
        <f t="shared" si="2"/>
        <v>532906.55999999994</v>
      </c>
      <c r="L29" s="140">
        <f t="shared" si="3"/>
        <v>441617.23499999999</v>
      </c>
    </row>
    <row r="30" spans="1:12">
      <c r="A30" s="13">
        <v>220</v>
      </c>
      <c r="B30" s="13">
        <v>204</v>
      </c>
      <c r="C30" s="13" t="s">
        <v>42</v>
      </c>
      <c r="D30" s="104">
        <v>410600</v>
      </c>
      <c r="E30" s="104">
        <v>323418.34999999998</v>
      </c>
      <c r="F30" s="104">
        <v>320000</v>
      </c>
      <c r="G30" s="104">
        <v>388527.4</v>
      </c>
      <c r="H30" s="104">
        <v>450000</v>
      </c>
      <c r="I30" s="235">
        <v>392804.66</v>
      </c>
      <c r="J30" s="80">
        <v>673379.4171428571</v>
      </c>
      <c r="K30" s="91">
        <f t="shared" si="2"/>
        <v>673379.4171428571</v>
      </c>
      <c r="L30" s="140">
        <f t="shared" si="3"/>
        <v>485127.52499999997</v>
      </c>
    </row>
    <row r="31" spans="1:12">
      <c r="A31" s="13">
        <v>220</v>
      </c>
      <c r="B31" s="13">
        <v>249</v>
      </c>
      <c r="C31" s="13" t="s">
        <v>80</v>
      </c>
      <c r="D31" s="104">
        <v>90000</v>
      </c>
      <c r="E31" s="104">
        <v>0</v>
      </c>
      <c r="F31" s="104">
        <v>0</v>
      </c>
      <c r="G31" s="104"/>
      <c r="H31" s="104">
        <v>0</v>
      </c>
      <c r="I31" s="235"/>
      <c r="J31" s="80">
        <v>0</v>
      </c>
      <c r="K31" s="91">
        <f t="shared" si="2"/>
        <v>0</v>
      </c>
      <c r="L31" s="140">
        <f t="shared" si="3"/>
        <v>0</v>
      </c>
    </row>
    <row r="32" spans="1:12">
      <c r="A32" s="13">
        <v>220</v>
      </c>
      <c r="B32" s="13">
        <v>250</v>
      </c>
      <c r="C32" s="13" t="s">
        <v>81</v>
      </c>
      <c r="D32" s="104">
        <v>150000</v>
      </c>
      <c r="E32" s="104">
        <v>18812.11</v>
      </c>
      <c r="F32" s="104">
        <v>150000</v>
      </c>
      <c r="G32" s="104">
        <v>112289.64</v>
      </c>
      <c r="H32" s="104">
        <v>50000</v>
      </c>
      <c r="I32" s="235">
        <v>112289.64</v>
      </c>
      <c r="J32" s="80">
        <v>192496.52571428573</v>
      </c>
      <c r="K32" s="91">
        <f t="shared" si="2"/>
        <v>192496.52571428573</v>
      </c>
      <c r="L32" s="140">
        <f t="shared" si="3"/>
        <v>28218.165000000001</v>
      </c>
    </row>
    <row r="33" spans="1:16">
      <c r="A33" s="13">
        <v>220</v>
      </c>
      <c r="B33" s="13">
        <v>253</v>
      </c>
      <c r="C33" s="13" t="s">
        <v>82</v>
      </c>
      <c r="D33" s="104">
        <v>3800000</v>
      </c>
      <c r="E33" s="104">
        <v>1202887.78</v>
      </c>
      <c r="F33" s="98">
        <v>4000000</v>
      </c>
      <c r="G33" s="104">
        <v>3445319.22</v>
      </c>
      <c r="H33" s="104">
        <v>7000000</v>
      </c>
      <c r="I33" s="235">
        <v>4495378.93</v>
      </c>
      <c r="J33" s="84">
        <v>5000000</v>
      </c>
      <c r="K33" s="91">
        <f t="shared" si="2"/>
        <v>7706363.8799999999</v>
      </c>
      <c r="L33" s="140">
        <f t="shared" si="3"/>
        <v>1804331.67</v>
      </c>
      <c r="M33" s="91"/>
    </row>
    <row r="34" spans="1:16">
      <c r="A34" s="79">
        <v>220</v>
      </c>
      <c r="B34" s="79">
        <v>251</v>
      </c>
      <c r="C34" s="79" t="s">
        <v>1096</v>
      </c>
      <c r="D34" s="104"/>
      <c r="E34" s="104"/>
      <c r="F34" s="104">
        <v>0</v>
      </c>
      <c r="G34" s="104">
        <v>3584</v>
      </c>
      <c r="H34" s="104">
        <v>0</v>
      </c>
      <c r="I34" s="235">
        <v>3584</v>
      </c>
      <c r="J34" s="80">
        <v>0</v>
      </c>
      <c r="K34" s="91">
        <f t="shared" si="2"/>
        <v>6144</v>
      </c>
      <c r="L34" s="27"/>
    </row>
    <row r="35" spans="1:16">
      <c r="D35" s="105">
        <f>SUM(D23:D33)</f>
        <v>8651708.2100000009</v>
      </c>
      <c r="E35" s="105">
        <f>SUM(E23:E33)</f>
        <v>3743386.0700000003</v>
      </c>
      <c r="F35" s="105">
        <f>SUM(F23:F34)</f>
        <v>7430000</v>
      </c>
      <c r="G35" s="105">
        <f>SUM(G23:G33)</f>
        <v>5628261.3800000008</v>
      </c>
      <c r="H35" s="105">
        <f>SUM(H23:H34)</f>
        <v>10590000</v>
      </c>
      <c r="I35" s="236">
        <f>SUM(I23:I34)</f>
        <v>6837991.5999999996</v>
      </c>
      <c r="J35" s="74">
        <f>SUM(J23:J34)</f>
        <v>10049037.342857143</v>
      </c>
      <c r="K35" s="91"/>
    </row>
    <row r="36" spans="1:16" ht="15.75" thickBot="1">
      <c r="D36" s="105"/>
      <c r="E36" s="105"/>
      <c r="F36" s="105"/>
      <c r="G36" s="105"/>
      <c r="H36" s="105"/>
      <c r="I36" s="236"/>
      <c r="J36" s="47"/>
      <c r="K36" s="47"/>
    </row>
    <row r="37" spans="1:16" s="1" customFormat="1" ht="15.75" thickBot="1">
      <c r="A37" s="1" t="s">
        <v>923</v>
      </c>
      <c r="D37" s="108"/>
      <c r="E37" s="108"/>
      <c r="F37" s="158"/>
      <c r="G37" s="158"/>
      <c r="H37" s="158"/>
      <c r="I37" s="245"/>
      <c r="M37" s="61" t="s">
        <v>916</v>
      </c>
      <c r="N37" s="46" t="s">
        <v>1105</v>
      </c>
      <c r="O37" s="59" t="s">
        <v>1103</v>
      </c>
      <c r="P37" s="59" t="s">
        <v>1117</v>
      </c>
    </row>
    <row r="38" spans="1:16">
      <c r="A38" s="13">
        <v>220</v>
      </c>
      <c r="B38" s="13">
        <v>8832</v>
      </c>
      <c r="C38" s="13" t="s">
        <v>84</v>
      </c>
      <c r="D38" s="104">
        <v>-308604.92</v>
      </c>
      <c r="E38" s="104">
        <v>0</v>
      </c>
      <c r="F38" s="104">
        <f>GRANTS!G4</f>
        <v>-150000</v>
      </c>
      <c r="G38" s="104">
        <v>0</v>
      </c>
      <c r="H38" s="104">
        <f>GRANTS!H4</f>
        <v>-150000</v>
      </c>
      <c r="I38" s="235"/>
      <c r="J38" s="80">
        <f>GRANTS!I4</f>
        <v>-175000</v>
      </c>
      <c r="K38" s="40"/>
      <c r="L38" s="44" t="s">
        <v>956</v>
      </c>
      <c r="M38" s="44">
        <f>D17+D35</f>
        <v>12376287.540000001</v>
      </c>
      <c r="N38" s="27">
        <f>F17+F20+F35</f>
        <v>11315519.498269999</v>
      </c>
      <c r="O38" s="27">
        <f>H17+H20+H35</f>
        <v>14811245.09704325</v>
      </c>
      <c r="P38" s="27">
        <f>J17+J20+J35</f>
        <v>14211738.858548585</v>
      </c>
    </row>
    <row r="39" spans="1:16">
      <c r="A39" s="13">
        <v>220</v>
      </c>
      <c r="B39" s="13">
        <v>8875</v>
      </c>
      <c r="C39" s="13" t="s">
        <v>85</v>
      </c>
      <c r="D39" s="104">
        <v>-7733952.2800000003</v>
      </c>
      <c r="E39" s="104">
        <v>0</v>
      </c>
      <c r="F39" s="104">
        <f>GRANTS!G5</f>
        <v>-8913976.2799999975</v>
      </c>
      <c r="G39" s="104">
        <v>0</v>
      </c>
      <c r="H39" s="104">
        <f>GRANTS!H5</f>
        <v>-8913976.2799999975</v>
      </c>
      <c r="I39" s="235"/>
      <c r="J39" s="80">
        <f>GRANTS!I5</f>
        <v>-8913976.2799999975</v>
      </c>
      <c r="K39" s="40"/>
      <c r="L39" s="44" t="s">
        <v>957</v>
      </c>
      <c r="M39" s="44">
        <f>D40</f>
        <v>-8042557.2000000002</v>
      </c>
      <c r="N39" s="27">
        <f>F40</f>
        <v>-9063976.2799999975</v>
      </c>
      <c r="O39" s="27">
        <f>H40</f>
        <v>-9063976.2799999975</v>
      </c>
      <c r="P39" s="27">
        <f>J40</f>
        <v>-9088976.2799999975</v>
      </c>
    </row>
    <row r="40" spans="1:16" ht="15.75" thickBot="1">
      <c r="D40" s="105">
        <f t="shared" ref="D40:J40" si="4">SUM(D38:D39)</f>
        <v>-8042557.2000000002</v>
      </c>
      <c r="E40" s="105">
        <f t="shared" si="4"/>
        <v>0</v>
      </c>
      <c r="F40" s="105">
        <f t="shared" si="4"/>
        <v>-9063976.2799999975</v>
      </c>
      <c r="G40" s="105">
        <f t="shared" si="4"/>
        <v>0</v>
      </c>
      <c r="H40" s="105">
        <f t="shared" si="4"/>
        <v>-9063976.2799999975</v>
      </c>
      <c r="I40" s="236">
        <f t="shared" si="4"/>
        <v>0</v>
      </c>
      <c r="J40" s="74">
        <f t="shared" si="4"/>
        <v>-9088976.2799999975</v>
      </c>
      <c r="K40" s="74"/>
      <c r="L40" s="27"/>
      <c r="M40" s="50">
        <f>M38+M39</f>
        <v>4333730.3400000008</v>
      </c>
      <c r="N40" s="50">
        <f>N38+N39</f>
        <v>2251543.2182700019</v>
      </c>
      <c r="O40" s="50">
        <f>O38+O39</f>
        <v>5747268.8170432523</v>
      </c>
      <c r="P40" s="50">
        <f>P38+P39</f>
        <v>5122762.5785485879</v>
      </c>
    </row>
    <row r="41" spans="1:16" ht="15.75" thickTop="1">
      <c r="G41" s="159"/>
      <c r="H41" s="159"/>
      <c r="I41" s="243"/>
    </row>
    <row r="42" spans="1:16">
      <c r="G42" s="159"/>
      <c r="H42" s="159"/>
      <c r="I42" s="243"/>
    </row>
    <row r="43" spans="1:16">
      <c r="G43" s="159"/>
      <c r="H43" s="159"/>
      <c r="I43" s="243"/>
    </row>
    <row r="44" spans="1:16">
      <c r="G44" s="159"/>
      <c r="H44" s="159"/>
      <c r="I44" s="243"/>
    </row>
    <row r="45" spans="1:16">
      <c r="C45" s="78" t="s">
        <v>1108</v>
      </c>
      <c r="D45" s="112"/>
      <c r="F45" s="197"/>
      <c r="G45" s="159"/>
      <c r="H45" s="197"/>
      <c r="I45" s="243"/>
    </row>
    <row r="46" spans="1:16" ht="15.75" thickBot="1">
      <c r="C46" s="38"/>
      <c r="D46" s="102"/>
      <c r="G46" s="159"/>
      <c r="H46" s="159"/>
      <c r="I46" s="243"/>
    </row>
    <row r="47" spans="1:16" ht="15.75" thickBot="1">
      <c r="C47" s="61" t="s">
        <v>916</v>
      </c>
      <c r="D47" s="195" t="s">
        <v>1102</v>
      </c>
      <c r="E47" s="225"/>
      <c r="F47" s="226" t="s">
        <v>1103</v>
      </c>
      <c r="G47" s="226" t="s">
        <v>1117</v>
      </c>
      <c r="H47" s="226" t="s">
        <v>1117</v>
      </c>
      <c r="I47" s="243"/>
    </row>
    <row r="48" spans="1:16">
      <c r="A48">
        <v>220</v>
      </c>
      <c r="B48" s="35" t="s">
        <v>87</v>
      </c>
      <c r="C48" s="38">
        <f>M40</f>
        <v>4333730.3400000008</v>
      </c>
      <c r="D48" s="102">
        <f>N40</f>
        <v>2251543.2182700019</v>
      </c>
      <c r="F48" s="102">
        <f>O40</f>
        <v>5747268.8170432523</v>
      </c>
      <c r="G48" s="102">
        <f>P40</f>
        <v>5122762.5785485879</v>
      </c>
      <c r="H48" s="102">
        <f>Q40</f>
        <v>0</v>
      </c>
      <c r="I48" s="243"/>
    </row>
    <row r="49" spans="7:9" ht="409.6">
      <c r="G49" s="159"/>
      <c r="H49" s="159"/>
      <c r="I49" s="243"/>
    </row>
    <row r="50" spans="7:9" ht="409.6">
      <c r="G50" s="159"/>
      <c r="H50" s="159"/>
      <c r="I50" s="243"/>
    </row>
    <row r="51" spans="7:9" ht="409.6">
      <c r="G51" s="159"/>
      <c r="H51" s="159"/>
      <c r="I51" s="243"/>
    </row>
    <row r="52" spans="7:9" ht="409.6">
      <c r="G52" s="159"/>
      <c r="H52" s="159"/>
      <c r="I52" s="243"/>
    </row>
    <row r="53" spans="7:9" ht="409.6">
      <c r="G53" s="159"/>
      <c r="H53" s="159"/>
      <c r="I53" s="243"/>
    </row>
    <row r="54" spans="7:9" ht="409.6">
      <c r="G54" s="159"/>
      <c r="H54" s="159"/>
      <c r="I54" s="243"/>
    </row>
    <row r="55" spans="7:9" ht="409.6">
      <c r="G55" s="159"/>
      <c r="H55" s="159"/>
      <c r="I55" s="243"/>
    </row>
    <row r="56" spans="7:9" ht="409.6">
      <c r="G56" s="159"/>
      <c r="H56" s="159"/>
      <c r="I56" s="243"/>
    </row>
    <row r="57" spans="7:9" ht="409.6">
      <c r="G57" s="159"/>
      <c r="H57" s="159"/>
      <c r="I57" s="243"/>
    </row>
    <row r="58" spans="7:9" ht="409.6">
      <c r="G58" s="159"/>
      <c r="H58" s="159"/>
      <c r="I58" s="243"/>
    </row>
    <row r="59" spans="7:9" ht="409.6">
      <c r="G59" s="159"/>
      <c r="H59" s="159"/>
      <c r="I59" s="243"/>
    </row>
    <row r="60" spans="7:9" ht="409.6">
      <c r="G60" s="159"/>
      <c r="H60" s="159"/>
      <c r="I60" s="243"/>
    </row>
    <row r="61" spans="7:9" ht="409.6">
      <c r="G61" s="159"/>
      <c r="H61" s="159"/>
      <c r="I61" s="243"/>
    </row>
    <row r="62" spans="7:9" ht="409.6">
      <c r="G62" s="159"/>
      <c r="H62" s="159"/>
      <c r="I62" s="243"/>
    </row>
    <row r="63" spans="7:9" ht="409.6">
      <c r="G63" s="159"/>
      <c r="H63" s="159"/>
      <c r="I63" s="243"/>
    </row>
    <row r="64" spans="7:9" ht="409.6">
      <c r="G64" s="159"/>
      <c r="H64" s="159"/>
      <c r="I64" s="243"/>
    </row>
    <row r="65" spans="7:9" ht="409.6">
      <c r="G65" s="159"/>
      <c r="H65" s="159"/>
      <c r="I65" s="243"/>
    </row>
    <row r="66" spans="7:9" ht="409.6">
      <c r="G66" s="159"/>
      <c r="H66" s="159"/>
      <c r="I66" s="243"/>
    </row>
    <row r="67" spans="7:9" ht="409.6">
      <c r="G67" s="159"/>
      <c r="H67" s="159"/>
      <c r="I67" s="243"/>
    </row>
    <row r="68" spans="7:9" ht="409.6">
      <c r="G68" s="159"/>
      <c r="H68" s="159"/>
      <c r="I68" s="243"/>
    </row>
    <row r="69" spans="7:9" ht="409.6">
      <c r="G69" s="159"/>
      <c r="H69" s="159"/>
      <c r="I69" s="243"/>
    </row>
    <row r="70" spans="7:9" ht="409.6">
      <c r="G70" s="159"/>
      <c r="H70" s="159"/>
      <c r="I70" s="243"/>
    </row>
    <row r="71" spans="7:9" ht="409.6">
      <c r="G71" s="159"/>
      <c r="H71" s="159"/>
      <c r="I71" s="243"/>
    </row>
    <row r="72" spans="7:9" ht="409.6">
      <c r="G72" s="159"/>
      <c r="H72" s="159"/>
      <c r="I72" s="243"/>
    </row>
    <row r="73" spans="7:9" ht="409.6">
      <c r="G73" s="159"/>
      <c r="H73" s="159"/>
      <c r="I73" s="243"/>
    </row>
    <row r="74" spans="7:9" ht="409.6">
      <c r="G74" s="159"/>
      <c r="H74" s="159"/>
      <c r="I74" s="243"/>
    </row>
    <row r="75" spans="7:9" ht="409.6">
      <c r="G75" s="159"/>
      <c r="H75" s="159"/>
      <c r="I75" s="243"/>
    </row>
    <row r="76" spans="7:9" ht="409.6">
      <c r="G76" s="159"/>
      <c r="H76" s="159"/>
      <c r="I76" s="243"/>
    </row>
    <row r="77" spans="7:9" ht="409.6">
      <c r="G77" s="159"/>
      <c r="H77" s="159"/>
      <c r="I77" s="243"/>
    </row>
    <row r="78" spans="7:9" ht="409.6">
      <c r="G78" s="159"/>
      <c r="H78" s="159"/>
      <c r="I78" s="243"/>
    </row>
    <row r="79" spans="7:9" ht="409.6">
      <c r="G79" s="159"/>
      <c r="H79" s="159"/>
      <c r="I79" s="243"/>
    </row>
    <row r="80" spans="7:9" ht="409.6">
      <c r="G80" s="159"/>
      <c r="H80" s="159"/>
      <c r="I80" s="243"/>
    </row>
    <row r="81" spans="7:9" ht="409.6">
      <c r="G81" s="159"/>
      <c r="H81" s="159"/>
      <c r="I81" s="243"/>
    </row>
    <row r="82" spans="7:9" ht="409.6">
      <c r="G82" s="159"/>
      <c r="H82" s="159"/>
      <c r="I82" s="243"/>
    </row>
    <row r="83" spans="7:9" ht="409.6">
      <c r="G83" s="159"/>
      <c r="H83" s="159"/>
      <c r="I83" s="243"/>
    </row>
    <row r="84" spans="7:9" ht="409.6">
      <c r="G84" s="159"/>
      <c r="H84" s="159"/>
      <c r="I84" s="243"/>
    </row>
    <row r="85" spans="7:9" ht="409.6">
      <c r="G85" s="159"/>
      <c r="H85" s="159"/>
      <c r="I85" s="243"/>
    </row>
    <row r="86" spans="7:9" ht="409.6">
      <c r="G86" s="159"/>
      <c r="H86" s="159"/>
      <c r="I86" s="243"/>
    </row>
    <row r="87" spans="7:9" ht="409.6">
      <c r="G87" s="159"/>
      <c r="H87" s="159"/>
      <c r="I87" s="243"/>
    </row>
    <row r="88" spans="7:9" ht="409.6">
      <c r="G88" s="159"/>
      <c r="H88" s="159"/>
      <c r="I88" s="243"/>
    </row>
    <row r="89" spans="7:9" ht="409.6">
      <c r="G89" s="159"/>
      <c r="H89" s="159"/>
      <c r="I89" s="243"/>
    </row>
    <row r="90" spans="7:9" ht="409.6">
      <c r="G90" s="159"/>
      <c r="H90" s="159"/>
      <c r="I90" s="243"/>
    </row>
    <row r="91" spans="7:9" ht="409.6">
      <c r="G91" s="159"/>
      <c r="H91" s="159"/>
      <c r="I91" s="243"/>
    </row>
    <row r="92" spans="7:9" ht="409.6">
      <c r="G92" s="159"/>
      <c r="H92" s="159"/>
      <c r="I92" s="243"/>
    </row>
    <row r="93" spans="7:9" ht="409.6">
      <c r="G93" s="159"/>
      <c r="H93" s="159"/>
      <c r="I93" s="243"/>
    </row>
    <row r="94" spans="7:9" ht="409.6">
      <c r="G94" s="159"/>
      <c r="H94" s="159"/>
      <c r="I94" s="243"/>
    </row>
    <row r="95" spans="7:9" ht="409.6">
      <c r="G95" s="159"/>
      <c r="H95" s="159"/>
      <c r="I95" s="243"/>
    </row>
    <row r="96" spans="7:9" ht="409.6">
      <c r="G96" s="159"/>
      <c r="H96" s="159"/>
      <c r="I96" s="243"/>
    </row>
    <row r="97" spans="7:9" ht="409.6">
      <c r="G97" s="159"/>
      <c r="H97" s="159"/>
      <c r="I97" s="243"/>
    </row>
    <row r="98" spans="7:9" ht="409.6">
      <c r="G98" s="159"/>
      <c r="H98" s="159"/>
      <c r="I98" s="243"/>
    </row>
    <row r="99" spans="7:9" ht="409.6">
      <c r="G99" s="159"/>
      <c r="H99" s="159"/>
      <c r="I99" s="243"/>
    </row>
    <row r="100" spans="7:9" ht="409.6">
      <c r="G100" s="159"/>
      <c r="H100" s="159"/>
      <c r="I100" s="243"/>
    </row>
    <row r="101" spans="7:9" ht="409.6">
      <c r="G101" s="159"/>
      <c r="H101" s="159"/>
      <c r="I101" s="243"/>
    </row>
    <row r="102" spans="7:9" ht="409.6">
      <c r="G102" s="159"/>
      <c r="H102" s="159"/>
      <c r="I102" s="243"/>
    </row>
    <row r="103" spans="7:9" ht="409.6">
      <c r="G103" s="159"/>
      <c r="H103" s="159"/>
      <c r="I103" s="243"/>
    </row>
    <row r="104" spans="7:9" ht="409.6">
      <c r="G104" s="159"/>
      <c r="H104" s="159"/>
      <c r="I104" s="243"/>
    </row>
    <row r="105" spans="7:9" ht="409.6">
      <c r="G105" s="159"/>
      <c r="H105" s="159"/>
      <c r="I105" s="243"/>
    </row>
    <row r="106" spans="7:9" ht="409.6">
      <c r="G106" s="159"/>
      <c r="H106" s="159"/>
      <c r="I106" s="243"/>
    </row>
    <row r="107" spans="7:9" ht="409.6">
      <c r="G107" s="159"/>
      <c r="H107" s="159"/>
      <c r="I107" s="243"/>
    </row>
    <row r="108" spans="7:9" ht="409.6">
      <c r="G108" s="159"/>
      <c r="H108" s="159"/>
      <c r="I108" s="243"/>
    </row>
    <row r="109" spans="7:9" ht="409.6">
      <c r="G109" s="159"/>
      <c r="H109" s="159"/>
      <c r="I109" s="243"/>
    </row>
    <row r="110" spans="7:9" ht="409.6">
      <c r="G110" s="159"/>
      <c r="H110" s="159"/>
      <c r="I110" s="243"/>
    </row>
    <row r="111" spans="7:9" ht="409.6">
      <c r="G111" s="159"/>
      <c r="H111" s="159"/>
      <c r="I111" s="243"/>
    </row>
    <row r="112" spans="7:9" ht="409.6">
      <c r="G112" s="159"/>
      <c r="H112" s="159"/>
      <c r="I112" s="243"/>
    </row>
    <row r="113" spans="7:9" ht="409.6">
      <c r="G113" s="159"/>
      <c r="H113" s="159"/>
      <c r="I113" s="243"/>
    </row>
  </sheetData>
  <pageMargins left="0.7" right="0.7" top="0.75" bottom="0.75" header="0.3" footer="0.3"/>
  <pageSetup scale="5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20</vt:i4>
      </vt:variant>
    </vt:vector>
  </HeadingPairs>
  <TitlesOfParts>
    <vt:vector size="47" baseType="lpstr">
      <vt:lpstr>Enquiry_0015</vt:lpstr>
      <vt:lpstr>FINANCIAL PERFORMANCE WITH FBE</vt:lpstr>
      <vt:lpstr>FREE BASIC CHARGE</vt:lpstr>
      <vt:lpstr>FINANCIAL PERFORMANCE</vt:lpstr>
      <vt:lpstr>SUMMARY- PER DEPT</vt:lpstr>
      <vt:lpstr>COMMUNITY SERVICES</vt:lpstr>
      <vt:lpstr>CORPORATE</vt:lpstr>
      <vt:lpstr>FINANCE</vt:lpstr>
      <vt:lpstr>MM</vt:lpstr>
      <vt:lpstr>SPEAKER</vt:lpstr>
      <vt:lpstr>MAYOR</vt:lpstr>
      <vt:lpstr>TECHNICAL</vt:lpstr>
      <vt:lpstr>SALARIES</vt:lpstr>
      <vt:lpstr>RME</vt:lpstr>
      <vt:lpstr>Unmetered Dpt Consumption</vt:lpstr>
      <vt:lpstr>CONTRACTED SERVICES</vt:lpstr>
      <vt:lpstr>GENERAL EXPENDITURE</vt:lpstr>
      <vt:lpstr>GENERAL EXPE BY TYPE</vt:lpstr>
      <vt:lpstr>OTHER REVENUE</vt:lpstr>
      <vt:lpstr>NON CASH</vt:lpstr>
      <vt:lpstr>CAPITAL</vt:lpstr>
      <vt:lpstr>GRANTS</vt:lpstr>
      <vt:lpstr>RENT REVENUE</vt:lpstr>
      <vt:lpstr>ESKOM REPAYMENT</vt:lpstr>
      <vt:lpstr>BULK PURCHASES</vt:lpstr>
      <vt:lpstr>CAPITAL - Renewal</vt:lpstr>
      <vt:lpstr>CAPITAL - New</vt:lpstr>
      <vt:lpstr>'BULK PURCHASES'!Print_Area</vt:lpstr>
      <vt:lpstr>CAPITAL!Print_Area</vt:lpstr>
      <vt:lpstr>'CAPITAL - Renewal'!Print_Area</vt:lpstr>
      <vt:lpstr>'COMMUNITY SERVICES'!Print_Area</vt:lpstr>
      <vt:lpstr>'CONTRACTED SERVICES'!Print_Area</vt:lpstr>
      <vt:lpstr>CORPORATE!Print_Area</vt:lpstr>
      <vt:lpstr>FINANCE!Print_Area</vt:lpstr>
      <vt:lpstr>'FINANCIAL PERFORMANCE'!Print_Area</vt:lpstr>
      <vt:lpstr>'FREE BASIC CHARGE'!Print_Area</vt:lpstr>
      <vt:lpstr>'GENERAL EXPE BY TYPE'!Print_Area</vt:lpstr>
      <vt:lpstr>'GENERAL EXPENDITURE'!Print_Area</vt:lpstr>
      <vt:lpstr>GRANTS!Print_Area</vt:lpstr>
      <vt:lpstr>MAYOR!Print_Area</vt:lpstr>
      <vt:lpstr>MM!Print_Area</vt:lpstr>
      <vt:lpstr>'OTHER REVENUE'!Print_Area</vt:lpstr>
      <vt:lpstr>'RENT REVENUE'!Print_Area</vt:lpstr>
      <vt:lpstr>RME!Print_Area</vt:lpstr>
      <vt:lpstr>SALARIES!Print_Area</vt:lpstr>
      <vt:lpstr>SPEAKER!Print_Area</vt:lpstr>
      <vt:lpstr>TECHNICAL!Print_Area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Moloi</dc:creator>
  <cp:lastModifiedBy>T Moloi</cp:lastModifiedBy>
  <cp:lastPrinted>2016-06-22T06:41:07Z</cp:lastPrinted>
  <dcterms:created xsi:type="dcterms:W3CDTF">2015-03-04T09:29:17Z</dcterms:created>
  <dcterms:modified xsi:type="dcterms:W3CDTF">2016-06-28T10:30:00Z</dcterms:modified>
</cp:coreProperties>
</file>